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ye\Dropbox (Norsk Toppfotball)\Mine Dokumenter fra NIF\FORENINGEN\Fordelingsmodell\2014\"/>
    </mc:Choice>
  </mc:AlternateContent>
  <bookViews>
    <workbookView xWindow="0" yWindow="0" windowWidth="28800" windowHeight="12435"/>
  </bookViews>
  <sheets>
    <sheet name="Endelig 2014" sheetId="4" r:id="rId1"/>
    <sheet name="Totalt" sheetId="6" r:id="rId2"/>
    <sheet name="TL Sport-AL Sport,Kommersiell" sheetId="1" r:id="rId3"/>
    <sheet name="TL kommersiell" sheetId="5" r:id="rId4"/>
    <sheet name="Utvikling" sheetId="3" r:id="rId5"/>
  </sheets>
  <definedNames>
    <definedName name="_xlnm.Print_Area" localSheetId="0">'Endelig 2014'!$A$1:$E$14</definedName>
    <definedName name="_xlnm.Print_Area" localSheetId="3">'TL kommersiell'!$O$1:$W$25</definedName>
    <definedName name="_xlnm.Print_Area" localSheetId="2">'TL Sport-AL Sport,Kommersiell'!$A$1:$M$52</definedName>
    <definedName name="_xlnm.Print_Area" localSheetId="1">Totalt!$A$1:$J$45</definedName>
    <definedName name="_xlnm.Print_Area" localSheetId="4">Utvikling!$A$27:$E$47</definedName>
  </definedNames>
  <calcPr calcId="152511"/>
</workbook>
</file>

<file path=xl/calcChain.xml><?xml version="1.0" encoding="utf-8"?>
<calcChain xmlns="http://schemas.openxmlformats.org/spreadsheetml/2006/main"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7" i="5"/>
  <c r="C1" i="3" l="1"/>
  <c r="B6" i="4" l="1"/>
  <c r="B8" i="4" s="1"/>
  <c r="C6" i="4" l="1"/>
  <c r="C8" i="4" s="1"/>
  <c r="B9" i="4"/>
  <c r="C9" i="4" s="1"/>
  <c r="B13" i="4" l="1"/>
  <c r="D2" i="1"/>
  <c r="D3" i="1" l="1"/>
  <c r="B47" i="3"/>
  <c r="C31" i="3" s="1"/>
  <c r="P8" i="5"/>
  <c r="S8" i="5" s="1"/>
  <c r="T8" i="5" s="1"/>
  <c r="P9" i="5"/>
  <c r="S9" i="5" s="1"/>
  <c r="T9" i="5" s="1"/>
  <c r="P10" i="5"/>
  <c r="S10" i="5" s="1"/>
  <c r="T10" i="5" s="1"/>
  <c r="P11" i="5"/>
  <c r="S11" i="5" s="1"/>
  <c r="T11" i="5" s="1"/>
  <c r="P12" i="5"/>
  <c r="S12" i="5" s="1"/>
  <c r="T12" i="5" s="1"/>
  <c r="P13" i="5"/>
  <c r="S13" i="5" s="1"/>
  <c r="T13" i="5" s="1"/>
  <c r="P14" i="5"/>
  <c r="S14" i="5" s="1"/>
  <c r="T14" i="5" s="1"/>
  <c r="P15" i="5"/>
  <c r="S15" i="5" s="1"/>
  <c r="T15" i="5" s="1"/>
  <c r="P16" i="5"/>
  <c r="S16" i="5" s="1"/>
  <c r="T16" i="5" s="1"/>
  <c r="P17" i="5"/>
  <c r="S17" i="5" s="1"/>
  <c r="T17" i="5" s="1"/>
  <c r="P18" i="5"/>
  <c r="S18" i="5" s="1"/>
  <c r="T18" i="5" s="1"/>
  <c r="P19" i="5"/>
  <c r="S19" i="5" s="1"/>
  <c r="T19" i="5" s="1"/>
  <c r="P20" i="5"/>
  <c r="S20" i="5" s="1"/>
  <c r="T20" i="5" s="1"/>
  <c r="P21" i="5"/>
  <c r="P22" i="5"/>
  <c r="S22" i="5" s="1"/>
  <c r="T22" i="5" s="1"/>
  <c r="P7" i="5"/>
  <c r="S7" i="5" s="1"/>
  <c r="T7" i="5" s="1"/>
  <c r="S21" i="5" l="1"/>
  <c r="T21" i="5" s="1"/>
  <c r="C30" i="3"/>
  <c r="C42" i="3"/>
  <c r="C44" i="3"/>
  <c r="C45" i="3"/>
  <c r="C36" i="3"/>
  <c r="C37" i="3"/>
  <c r="C43" i="3"/>
  <c r="C34" i="3"/>
  <c r="C33" i="3"/>
  <c r="C40" i="3"/>
  <c r="C39" i="3"/>
  <c r="C35" i="3"/>
  <c r="C41" i="3"/>
  <c r="C38" i="3"/>
  <c r="C32" i="3"/>
  <c r="C47" i="3" l="1"/>
  <c r="B4" i="3" l="1"/>
  <c r="B5" i="3"/>
  <c r="D11" i="4"/>
  <c r="C9" i="1" s="1"/>
  <c r="C11" i="4"/>
  <c r="B5" i="1"/>
  <c r="D6" i="4"/>
  <c r="D8" i="4" l="1"/>
  <c r="E6" i="4"/>
  <c r="B9" i="1"/>
  <c r="D9" i="1" s="1"/>
  <c r="C13" i="4"/>
  <c r="C14" i="1"/>
  <c r="C16" i="1"/>
  <c r="C18" i="1"/>
  <c r="C20" i="1"/>
  <c r="C22" i="1"/>
  <c r="C24" i="1"/>
  <c r="C26" i="1"/>
  <c r="F26" i="1" s="1"/>
  <c r="B19" i="6" s="1"/>
  <c r="C28" i="1"/>
  <c r="D15" i="1"/>
  <c r="D17" i="1"/>
  <c r="D19" i="1"/>
  <c r="D21" i="1"/>
  <c r="D23" i="1"/>
  <c r="D25" i="1"/>
  <c r="D27" i="1"/>
  <c r="D29" i="1"/>
  <c r="C15" i="1"/>
  <c r="C17" i="1"/>
  <c r="F17" i="1" s="1"/>
  <c r="B10" i="6" s="1"/>
  <c r="C19" i="1"/>
  <c r="F19" i="1" s="1"/>
  <c r="B12" i="6" s="1"/>
  <c r="C21" i="1"/>
  <c r="F21" i="1" s="1"/>
  <c r="B14" i="6" s="1"/>
  <c r="C23" i="1"/>
  <c r="F23" i="1" s="1"/>
  <c r="B16" i="6" s="1"/>
  <c r="C25" i="1"/>
  <c r="F25" i="1" s="1"/>
  <c r="B18" i="6" s="1"/>
  <c r="C27" i="1"/>
  <c r="F27" i="1" s="1"/>
  <c r="B20" i="6" s="1"/>
  <c r="C29" i="1"/>
  <c r="F29" i="1" s="1"/>
  <c r="B22" i="6" s="1"/>
  <c r="D16" i="1"/>
  <c r="D18" i="1"/>
  <c r="D20" i="1"/>
  <c r="D22" i="1"/>
  <c r="D24" i="1"/>
  <c r="D26" i="1"/>
  <c r="D28" i="1"/>
  <c r="D14" i="1"/>
  <c r="B5" i="5"/>
  <c r="G10" i="5" s="1"/>
  <c r="D9" i="4"/>
  <c r="F18" i="1" l="1"/>
  <c r="B11" i="6" s="1"/>
  <c r="F22" i="1"/>
  <c r="B15" i="6" s="1"/>
  <c r="D13" i="4"/>
  <c r="C5" i="1"/>
  <c r="D5" i="1" s="1"/>
  <c r="F15" i="1"/>
  <c r="B8" i="6" s="1"/>
  <c r="H6" i="5"/>
  <c r="B6" i="1"/>
  <c r="E9" i="4"/>
  <c r="E13" i="4"/>
  <c r="C6" i="1"/>
  <c r="K6" i="5"/>
  <c r="J10" i="5" s="1"/>
  <c r="B7" i="1"/>
  <c r="D7" i="1" s="1"/>
  <c r="F14" i="1"/>
  <c r="D31" i="1"/>
  <c r="F28" i="1"/>
  <c r="B21" i="6" s="1"/>
  <c r="F24" i="1"/>
  <c r="B17" i="6" s="1"/>
  <c r="F20" i="1"/>
  <c r="B13" i="6" s="1"/>
  <c r="F16" i="1"/>
  <c r="B9" i="6" s="1"/>
  <c r="C31" i="1"/>
  <c r="H45" i="6"/>
  <c r="C8" i="1" l="1"/>
  <c r="B7" i="6"/>
  <c r="B24" i="6" s="1"/>
  <c r="F31" i="1"/>
  <c r="D45" i="1"/>
  <c r="D48" i="1"/>
  <c r="D36" i="1"/>
  <c r="C50" i="1"/>
  <c r="D39" i="1"/>
  <c r="C43" i="1"/>
  <c r="D50" i="1"/>
  <c r="D42" i="1"/>
  <c r="C36" i="1"/>
  <c r="C44" i="1"/>
  <c r="D41" i="1"/>
  <c r="C37" i="1"/>
  <c r="C49" i="1"/>
  <c r="C38" i="1"/>
  <c r="D43" i="1"/>
  <c r="C47" i="1"/>
  <c r="C45" i="1"/>
  <c r="F45" i="1" s="1"/>
  <c r="B38" i="6" s="1"/>
  <c r="D44" i="1"/>
  <c r="C42" i="1"/>
  <c r="D47" i="1"/>
  <c r="D35" i="1"/>
  <c r="C35" i="1"/>
  <c r="D46" i="1"/>
  <c r="D38" i="1"/>
  <c r="C40" i="1"/>
  <c r="C48" i="1"/>
  <c r="D49" i="1"/>
  <c r="D37" i="1"/>
  <c r="C41" i="1"/>
  <c r="F41" i="1" s="1"/>
  <c r="B34" i="6" s="1"/>
  <c r="D40" i="1"/>
  <c r="C46" i="1"/>
  <c r="F46" i="1" s="1"/>
  <c r="B39" i="6" s="1"/>
  <c r="C39" i="1"/>
  <c r="C10" i="1"/>
  <c r="D6" i="1"/>
  <c r="D8" i="1" s="1"/>
  <c r="D10" i="1" s="1"/>
  <c r="F10" i="1" s="1"/>
  <c r="B8" i="1"/>
  <c r="B10" i="1" s="1"/>
  <c r="H24" i="6"/>
  <c r="C5" i="3"/>
  <c r="E5" i="3" s="1"/>
  <c r="E50" i="1" l="1"/>
  <c r="E35" i="1"/>
  <c r="F35" i="1" s="1"/>
  <c r="B28" i="6" s="1"/>
  <c r="E36" i="1"/>
  <c r="F36" i="1" s="1"/>
  <c r="B29" i="6" s="1"/>
  <c r="D29" i="6" s="1"/>
  <c r="E48" i="1"/>
  <c r="F48" i="1" s="1"/>
  <c r="B41" i="6" s="1"/>
  <c r="D41" i="6" s="1"/>
  <c r="D39" i="6"/>
  <c r="D34" i="6"/>
  <c r="D38" i="6"/>
  <c r="F40" i="1"/>
  <c r="B33" i="6" s="1"/>
  <c r="F42" i="1"/>
  <c r="B35" i="6" s="1"/>
  <c r="D52" i="1"/>
  <c r="F39" i="1"/>
  <c r="B32" i="6" s="1"/>
  <c r="C52" i="1"/>
  <c r="F47" i="1"/>
  <c r="B40" i="6" s="1"/>
  <c r="F38" i="1"/>
  <c r="B31" i="6" s="1"/>
  <c r="F37" i="1"/>
  <c r="B30" i="6" s="1"/>
  <c r="F44" i="1"/>
  <c r="B37" i="6" s="1"/>
  <c r="F43" i="1"/>
  <c r="B36" i="6" s="1"/>
  <c r="F50" i="1"/>
  <c r="B43" i="6" s="1"/>
  <c r="D43" i="6" s="1"/>
  <c r="F49" i="1"/>
  <c r="B42" i="6" s="1"/>
  <c r="D31" i="3"/>
  <c r="D35" i="3"/>
  <c r="D39" i="3"/>
  <c r="D40" i="3"/>
  <c r="D41" i="3"/>
  <c r="D34" i="3"/>
  <c r="D43" i="3"/>
  <c r="D37" i="3"/>
  <c r="D33" i="3"/>
  <c r="D45" i="3"/>
  <c r="D44" i="3"/>
  <c r="D42" i="3"/>
  <c r="D36" i="3"/>
  <c r="D32" i="3"/>
  <c r="D38" i="3"/>
  <c r="D30" i="3"/>
  <c r="T54" i="5"/>
  <c r="B45" i="6" l="1"/>
  <c r="E31" i="6"/>
  <c r="E33" i="3"/>
  <c r="E28" i="6"/>
  <c r="E45" i="6" s="1"/>
  <c r="E30" i="3"/>
  <c r="E40" i="6"/>
  <c r="E42" i="3"/>
  <c r="F52" i="1"/>
  <c r="E35" i="6"/>
  <c r="E37" i="3"/>
  <c r="E38" i="6"/>
  <c r="F38" i="6" s="1"/>
  <c r="E40" i="3"/>
  <c r="E36" i="6"/>
  <c r="E38" i="3"/>
  <c r="E42" i="6"/>
  <c r="E44" i="3"/>
  <c r="E41" i="6"/>
  <c r="E43" i="3"/>
  <c r="E37" i="6"/>
  <c r="E39" i="3"/>
  <c r="E52" i="1"/>
  <c r="E34" i="6"/>
  <c r="E36" i="3"/>
  <c r="E39" i="6"/>
  <c r="F39" i="6" s="1"/>
  <c r="E41" i="3"/>
  <c r="E29" i="6"/>
  <c r="E31" i="3"/>
  <c r="E30" i="6"/>
  <c r="E32" i="3"/>
  <c r="E43" i="6"/>
  <c r="E45" i="3"/>
  <c r="E32" i="6"/>
  <c r="E34" i="3"/>
  <c r="E33" i="6"/>
  <c r="E35" i="3"/>
  <c r="D32" i="6"/>
  <c r="F32" i="6" s="1"/>
  <c r="D42" i="6"/>
  <c r="D40" i="6"/>
  <c r="D31" i="6"/>
  <c r="F31" i="6" s="1"/>
  <c r="D37" i="6"/>
  <c r="F37" i="6" s="1"/>
  <c r="D35" i="6"/>
  <c r="F35" i="6" s="1"/>
  <c r="D36" i="6"/>
  <c r="F36" i="6" s="1"/>
  <c r="D30" i="6"/>
  <c r="D33" i="6"/>
  <c r="F33" i="6" s="1"/>
  <c r="D28" i="6"/>
  <c r="F28" i="6" s="1"/>
  <c r="F40" i="6"/>
  <c r="F41" i="6"/>
  <c r="F30" i="6"/>
  <c r="F43" i="6"/>
  <c r="F34" i="6"/>
  <c r="F29" i="6"/>
  <c r="I76" i="5"/>
  <c r="J73" i="5" s="1"/>
  <c r="M74" i="5"/>
  <c r="Y52" i="5" s="1"/>
  <c r="M73" i="5"/>
  <c r="Y51" i="5" s="1"/>
  <c r="C76" i="5"/>
  <c r="M72" i="5"/>
  <c r="Y50" i="5" s="1"/>
  <c r="M71" i="5"/>
  <c r="Y49" i="5" s="1"/>
  <c r="M70" i="5"/>
  <c r="Y48" i="5" s="1"/>
  <c r="M69" i="5"/>
  <c r="Y47" i="5" s="1"/>
  <c r="M68" i="5"/>
  <c r="Y46" i="5" s="1"/>
  <c r="M67" i="5"/>
  <c r="Y45" i="5" s="1"/>
  <c r="M66" i="5"/>
  <c r="Y44" i="5" s="1"/>
  <c r="M65" i="5"/>
  <c r="Y43" i="5" s="1"/>
  <c r="M64" i="5"/>
  <c r="Y42" i="5" s="1"/>
  <c r="M63" i="5"/>
  <c r="Y41" i="5" s="1"/>
  <c r="M62" i="5"/>
  <c r="Y40" i="5" s="1"/>
  <c r="M61" i="5"/>
  <c r="Y39" i="5" s="1"/>
  <c r="M60" i="5"/>
  <c r="Y38" i="5" s="1"/>
  <c r="M59" i="5"/>
  <c r="Y37" i="5" s="1"/>
  <c r="M52" i="5"/>
  <c r="W52" i="5" s="1"/>
  <c r="M51" i="5"/>
  <c r="W51" i="5" s="1"/>
  <c r="M50" i="5"/>
  <c r="W50" i="5" s="1"/>
  <c r="C54" i="5"/>
  <c r="M49" i="5"/>
  <c r="W49" i="5" s="1"/>
  <c r="M48" i="5"/>
  <c r="W48" i="5" s="1"/>
  <c r="M47" i="5"/>
  <c r="W47" i="5" s="1"/>
  <c r="M46" i="5"/>
  <c r="W46" i="5" s="1"/>
  <c r="M45" i="5"/>
  <c r="W45" i="5" s="1"/>
  <c r="M44" i="5"/>
  <c r="W44" i="5" s="1"/>
  <c r="M43" i="5"/>
  <c r="W43" i="5" s="1"/>
  <c r="M42" i="5"/>
  <c r="W42" i="5" s="1"/>
  <c r="M41" i="5"/>
  <c r="W41" i="5" s="1"/>
  <c r="M40" i="5"/>
  <c r="W40" i="5" s="1"/>
  <c r="I54" i="5"/>
  <c r="M39" i="5"/>
  <c r="W39" i="5" s="1"/>
  <c r="M38" i="5"/>
  <c r="W38" i="5" s="1"/>
  <c r="M37" i="5"/>
  <c r="W37" i="5" s="1"/>
  <c r="I32" i="5"/>
  <c r="J30" i="5" s="1"/>
  <c r="F32" i="5"/>
  <c r="G27" i="5" s="1"/>
  <c r="C32" i="5"/>
  <c r="M30" i="5"/>
  <c r="U52" i="5" s="1"/>
  <c r="M29" i="5"/>
  <c r="U51" i="5" s="1"/>
  <c r="M28" i="5"/>
  <c r="U50" i="5" s="1"/>
  <c r="M27" i="5"/>
  <c r="U49" i="5" s="1"/>
  <c r="M26" i="5"/>
  <c r="U48" i="5" s="1"/>
  <c r="M25" i="5"/>
  <c r="U47" i="5" s="1"/>
  <c r="M24" i="5"/>
  <c r="U46" i="5" s="1"/>
  <c r="M23" i="5"/>
  <c r="U45" i="5" s="1"/>
  <c r="M22" i="5"/>
  <c r="U44" i="5" s="1"/>
  <c r="M21" i="5"/>
  <c r="U43" i="5" s="1"/>
  <c r="M20" i="5"/>
  <c r="U42" i="5" s="1"/>
  <c r="M19" i="5"/>
  <c r="U41" i="5" s="1"/>
  <c r="M18" i="5"/>
  <c r="U40" i="5" s="1"/>
  <c r="M17" i="5"/>
  <c r="U39" i="5" s="1"/>
  <c r="M16" i="5"/>
  <c r="U38" i="5" s="1"/>
  <c r="M15" i="5"/>
  <c r="U37" i="5" s="1"/>
  <c r="B6" i="5"/>
  <c r="D16" i="5" l="1"/>
  <c r="D20" i="5"/>
  <c r="D24" i="5"/>
  <c r="D28" i="5"/>
  <c r="D27" i="5"/>
  <c r="D17" i="5"/>
  <c r="D21" i="5"/>
  <c r="D25" i="5"/>
  <c r="D29" i="5"/>
  <c r="D23" i="5"/>
  <c r="D18" i="5"/>
  <c r="D22" i="5"/>
  <c r="D26" i="5"/>
  <c r="D30" i="5"/>
  <c r="D19" i="5"/>
  <c r="F42" i="6"/>
  <c r="F45" i="6" s="1"/>
  <c r="E47" i="3"/>
  <c r="D45" i="6"/>
  <c r="AA52" i="5"/>
  <c r="AA49" i="5"/>
  <c r="Y54" i="5"/>
  <c r="AA46" i="5"/>
  <c r="AA42" i="5"/>
  <c r="AA38" i="5"/>
  <c r="AA51" i="5"/>
  <c r="AA50" i="5"/>
  <c r="AA48" i="5"/>
  <c r="AA47" i="5"/>
  <c r="AA45" i="5"/>
  <c r="AA44" i="5"/>
  <c r="AA43" i="5"/>
  <c r="AA41" i="5"/>
  <c r="AA40" i="5"/>
  <c r="W54" i="5"/>
  <c r="AA39" i="5"/>
  <c r="U54" i="5"/>
  <c r="AA37" i="5"/>
  <c r="J62" i="5"/>
  <c r="G29" i="5"/>
  <c r="D15" i="5"/>
  <c r="G23" i="5"/>
  <c r="G15" i="5"/>
  <c r="G21" i="5"/>
  <c r="G20" i="5"/>
  <c r="D42" i="5"/>
  <c r="D37" i="5"/>
  <c r="D44" i="5"/>
  <c r="J66" i="5"/>
  <c r="J69" i="5"/>
  <c r="J60" i="5"/>
  <c r="J64" i="5"/>
  <c r="M76" i="5"/>
  <c r="M54" i="5"/>
  <c r="D41" i="5"/>
  <c r="D40" i="5"/>
  <c r="J15" i="5"/>
  <c r="J16" i="5"/>
  <c r="J17" i="5"/>
  <c r="J18" i="5"/>
  <c r="J19" i="5"/>
  <c r="J20" i="5"/>
  <c r="J21" i="5"/>
  <c r="J22" i="5"/>
  <c r="J23" i="5"/>
  <c r="J24" i="5"/>
  <c r="J25" i="5"/>
  <c r="J26" i="5"/>
  <c r="G22" i="5"/>
  <c r="G25" i="5"/>
  <c r="G24" i="5"/>
  <c r="M32" i="5"/>
  <c r="D74" i="5"/>
  <c r="D70" i="5"/>
  <c r="D67" i="5"/>
  <c r="D65" i="5"/>
  <c r="D63" i="5"/>
  <c r="D61" i="5"/>
  <c r="D59" i="5"/>
  <c r="D69" i="5"/>
  <c r="D68" i="5"/>
  <c r="D66" i="5"/>
  <c r="D64" i="5"/>
  <c r="D62" i="5"/>
  <c r="D60" i="5"/>
  <c r="J29" i="5"/>
  <c r="J27" i="5"/>
  <c r="J43" i="5"/>
  <c r="J39" i="5"/>
  <c r="J46" i="5"/>
  <c r="J47" i="5"/>
  <c r="J48" i="5"/>
  <c r="D48" i="5"/>
  <c r="D47" i="5"/>
  <c r="D46" i="5"/>
  <c r="D45" i="5"/>
  <c r="D43" i="5"/>
  <c r="D39" i="5"/>
  <c r="D38" i="5"/>
  <c r="J49" i="5"/>
  <c r="J50" i="5"/>
  <c r="D52" i="5"/>
  <c r="J74" i="5"/>
  <c r="J72" i="5"/>
  <c r="J71" i="5"/>
  <c r="J70" i="5"/>
  <c r="J68" i="5"/>
  <c r="J67" i="5"/>
  <c r="J65" i="5"/>
  <c r="J63" i="5"/>
  <c r="J61" i="5"/>
  <c r="J59" i="5"/>
  <c r="J28" i="5"/>
  <c r="G30" i="5"/>
  <c r="L30" i="5" s="1"/>
  <c r="Q52" i="5" s="1"/>
  <c r="G28" i="5"/>
  <c r="G26" i="5"/>
  <c r="J37" i="5"/>
  <c r="J38" i="5"/>
  <c r="J40" i="5"/>
  <c r="J41" i="5"/>
  <c r="J42" i="5"/>
  <c r="J44" i="5"/>
  <c r="J45" i="5"/>
  <c r="F54" i="5"/>
  <c r="G46" i="5" s="1"/>
  <c r="D49" i="5"/>
  <c r="D50" i="5"/>
  <c r="D51" i="5"/>
  <c r="J51" i="5"/>
  <c r="J52" i="5"/>
  <c r="D71" i="5"/>
  <c r="D72" i="5"/>
  <c r="D73" i="5"/>
  <c r="F76" i="5"/>
  <c r="AA54" i="5" l="1"/>
  <c r="G28" i="6"/>
  <c r="G30" i="6"/>
  <c r="G31" i="6"/>
  <c r="G45" i="6"/>
  <c r="G42" i="6"/>
  <c r="G38" i="6"/>
  <c r="G37" i="6"/>
  <c r="G43" i="6"/>
  <c r="G29" i="6"/>
  <c r="G40" i="6"/>
  <c r="G34" i="6"/>
  <c r="G41" i="6"/>
  <c r="G32" i="6"/>
  <c r="G35" i="6"/>
  <c r="G39" i="6"/>
  <c r="G36" i="6"/>
  <c r="G33" i="6"/>
  <c r="B9" i="5"/>
  <c r="B7" i="5"/>
  <c r="B8" i="5"/>
  <c r="L17" i="5"/>
  <c r="Q39" i="5" s="1"/>
  <c r="L15" i="5"/>
  <c r="Q37" i="5" s="1"/>
  <c r="L27" i="5"/>
  <c r="Q49" i="5" s="1"/>
  <c r="L21" i="5"/>
  <c r="Q43" i="5" s="1"/>
  <c r="L16" i="5"/>
  <c r="Q38" i="5" s="1"/>
  <c r="L18" i="5"/>
  <c r="Q40" i="5" s="1"/>
  <c r="L24" i="5"/>
  <c r="Q46" i="5" s="1"/>
  <c r="L20" i="5"/>
  <c r="Q42" i="5" s="1"/>
  <c r="L19" i="5"/>
  <c r="Q41" i="5" s="1"/>
  <c r="D54" i="5"/>
  <c r="L28" i="5"/>
  <c r="Q50" i="5" s="1"/>
  <c r="J76" i="5"/>
  <c r="L23" i="5"/>
  <c r="Q45" i="5" s="1"/>
  <c r="L25" i="5"/>
  <c r="Q47" i="5" s="1"/>
  <c r="G32" i="5"/>
  <c r="L26" i="5"/>
  <c r="Q48" i="5" s="1"/>
  <c r="L29" i="5"/>
  <c r="Q51" i="5" s="1"/>
  <c r="D32" i="5"/>
  <c r="L22" i="5"/>
  <c r="Q44" i="5" s="1"/>
  <c r="G52" i="5"/>
  <c r="L52" i="5" s="1"/>
  <c r="R52" i="5" s="1"/>
  <c r="G50" i="5"/>
  <c r="L50" i="5" s="1"/>
  <c r="R50" i="5" s="1"/>
  <c r="G49" i="5"/>
  <c r="L49" i="5" s="1"/>
  <c r="R49" i="5" s="1"/>
  <c r="G44" i="5"/>
  <c r="L44" i="5" s="1"/>
  <c r="R44" i="5" s="1"/>
  <c r="G42" i="5"/>
  <c r="L42" i="5" s="1"/>
  <c r="R42" i="5" s="1"/>
  <c r="G41" i="5"/>
  <c r="L41" i="5" s="1"/>
  <c r="R41" i="5" s="1"/>
  <c r="G40" i="5"/>
  <c r="L40" i="5" s="1"/>
  <c r="R40" i="5" s="1"/>
  <c r="G37" i="5"/>
  <c r="G45" i="5"/>
  <c r="L45" i="5" s="1"/>
  <c r="R45" i="5" s="1"/>
  <c r="G43" i="5"/>
  <c r="L43" i="5" s="1"/>
  <c r="R43" i="5" s="1"/>
  <c r="G39" i="5"/>
  <c r="L39" i="5" s="1"/>
  <c r="R39" i="5" s="1"/>
  <c r="G38" i="5"/>
  <c r="L38" i="5" s="1"/>
  <c r="R38" i="5" s="1"/>
  <c r="G48" i="5"/>
  <c r="L48" i="5" s="1"/>
  <c r="R48" i="5" s="1"/>
  <c r="G47" i="5"/>
  <c r="L47" i="5" s="1"/>
  <c r="R47" i="5" s="1"/>
  <c r="L46" i="5"/>
  <c r="R46" i="5" s="1"/>
  <c r="J32" i="5"/>
  <c r="D76" i="5"/>
  <c r="G69" i="5"/>
  <c r="L69" i="5" s="1"/>
  <c r="S47" i="5" s="1"/>
  <c r="G66" i="5"/>
  <c r="L66" i="5" s="1"/>
  <c r="S44" i="5" s="1"/>
  <c r="G64" i="5"/>
  <c r="L64" i="5" s="1"/>
  <c r="S42" i="5" s="1"/>
  <c r="G62" i="5"/>
  <c r="L62" i="5" s="1"/>
  <c r="S40" i="5" s="1"/>
  <c r="G60" i="5"/>
  <c r="L60" i="5" s="1"/>
  <c r="S38" i="5" s="1"/>
  <c r="G74" i="5"/>
  <c r="L74" i="5" s="1"/>
  <c r="S52" i="5" s="1"/>
  <c r="G67" i="5"/>
  <c r="L67" i="5" s="1"/>
  <c r="S45" i="5" s="1"/>
  <c r="G65" i="5"/>
  <c r="L65" i="5" s="1"/>
  <c r="S43" i="5" s="1"/>
  <c r="G63" i="5"/>
  <c r="L63" i="5" s="1"/>
  <c r="S41" i="5" s="1"/>
  <c r="G61" i="5"/>
  <c r="L61" i="5" s="1"/>
  <c r="S39" i="5" s="1"/>
  <c r="G59" i="5"/>
  <c r="G72" i="5"/>
  <c r="L72" i="5" s="1"/>
  <c r="S50" i="5" s="1"/>
  <c r="G71" i="5"/>
  <c r="L71" i="5" s="1"/>
  <c r="S49" i="5" s="1"/>
  <c r="G70" i="5"/>
  <c r="L70" i="5" s="1"/>
  <c r="S48" i="5" s="1"/>
  <c r="G68" i="5"/>
  <c r="L68" i="5" s="1"/>
  <c r="S46" i="5" s="1"/>
  <c r="J54" i="5"/>
  <c r="G73" i="5"/>
  <c r="L73" i="5" s="1"/>
  <c r="S51" i="5" s="1"/>
  <c r="G51" i="5"/>
  <c r="L51" i="5" s="1"/>
  <c r="R51" i="5" s="1"/>
  <c r="C4" i="3"/>
  <c r="E4" i="3" s="1"/>
  <c r="M52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5" i="1"/>
  <c r="K52" i="1"/>
  <c r="B52" i="1"/>
  <c r="B31" i="1"/>
  <c r="T52" i="5" l="1"/>
  <c r="U22" i="5" s="1"/>
  <c r="T46" i="5"/>
  <c r="U16" i="5" s="1"/>
  <c r="T49" i="5"/>
  <c r="U19" i="5" s="1"/>
  <c r="T45" i="5"/>
  <c r="U15" i="5" s="1"/>
  <c r="T50" i="5"/>
  <c r="U20" i="5" s="1"/>
  <c r="T39" i="5"/>
  <c r="U9" i="5" s="1"/>
  <c r="T44" i="5"/>
  <c r="U14" i="5" s="1"/>
  <c r="T47" i="5"/>
  <c r="U17" i="5" s="1"/>
  <c r="T40" i="5"/>
  <c r="U10" i="5" s="1"/>
  <c r="T51" i="5"/>
  <c r="U21" i="5" s="1"/>
  <c r="T41" i="5"/>
  <c r="U11" i="5" s="1"/>
  <c r="T38" i="5"/>
  <c r="U8" i="5" s="1"/>
  <c r="T48" i="5"/>
  <c r="U18" i="5" s="1"/>
  <c r="T42" i="5"/>
  <c r="U12" i="5" s="1"/>
  <c r="T43" i="5"/>
  <c r="U13" i="5" s="1"/>
  <c r="B26" i="3"/>
  <c r="L32" i="5"/>
  <c r="G76" i="5"/>
  <c r="L59" i="5"/>
  <c r="G54" i="5"/>
  <c r="L37" i="5"/>
  <c r="L52" i="1"/>
  <c r="C10" i="3" l="1"/>
  <c r="D10" i="3" s="1"/>
  <c r="C20" i="3"/>
  <c r="D20" i="3" s="1"/>
  <c r="C13" i="3"/>
  <c r="D13" i="3" s="1"/>
  <c r="C17" i="3"/>
  <c r="D17" i="3" s="1"/>
  <c r="C21" i="3"/>
  <c r="D21" i="3" s="1"/>
  <c r="C9" i="3"/>
  <c r="C14" i="3"/>
  <c r="D14" i="3" s="1"/>
  <c r="C18" i="3"/>
  <c r="D18" i="3" s="1"/>
  <c r="C22" i="3"/>
  <c r="D22" i="3" s="1"/>
  <c r="C11" i="3"/>
  <c r="D11" i="3" s="1"/>
  <c r="C15" i="3"/>
  <c r="D15" i="3" s="1"/>
  <c r="C19" i="3"/>
  <c r="D19" i="3" s="1"/>
  <c r="C23" i="3"/>
  <c r="D23" i="3" s="1"/>
  <c r="C12" i="3"/>
  <c r="D12" i="3" s="1"/>
  <c r="C16" i="3"/>
  <c r="D16" i="3" s="1"/>
  <c r="C24" i="3"/>
  <c r="D24" i="3" s="1"/>
  <c r="L76" i="5"/>
  <c r="S37" i="5"/>
  <c r="L54" i="5"/>
  <c r="R37" i="5"/>
  <c r="D47" i="3"/>
  <c r="H33" i="6"/>
  <c r="H31" i="6"/>
  <c r="H32" i="6"/>
  <c r="H35" i="6"/>
  <c r="H36" i="6"/>
  <c r="H39" i="6"/>
  <c r="H40" i="6"/>
  <c r="H43" i="6"/>
  <c r="H42" i="6"/>
  <c r="H41" i="6"/>
  <c r="H38" i="6"/>
  <c r="H37" i="6"/>
  <c r="H34" i="6"/>
  <c r="H30" i="6"/>
  <c r="H28" i="6"/>
  <c r="H29" i="6"/>
  <c r="E22" i="6" l="1"/>
  <c r="E24" i="3"/>
  <c r="E16" i="6"/>
  <c r="E18" i="3"/>
  <c r="E14" i="6"/>
  <c r="E16" i="3"/>
  <c r="E13" i="6"/>
  <c r="E15" i="3"/>
  <c r="E12" i="6"/>
  <c r="E14" i="3"/>
  <c r="E11" i="6"/>
  <c r="E13" i="3"/>
  <c r="E10" i="6"/>
  <c r="E12" i="3"/>
  <c r="E9" i="6"/>
  <c r="E11" i="3"/>
  <c r="E18" i="6"/>
  <c r="E20" i="3"/>
  <c r="E17" i="6"/>
  <c r="E19" i="3"/>
  <c r="E15" i="6"/>
  <c r="E17" i="3"/>
  <c r="E21" i="6"/>
  <c r="E23" i="3"/>
  <c r="E20" i="6"/>
  <c r="E22" i="3"/>
  <c r="E19" i="6"/>
  <c r="E21" i="3"/>
  <c r="E8" i="6"/>
  <c r="E10" i="3"/>
  <c r="D9" i="3"/>
  <c r="E9" i="3" s="1"/>
  <c r="C26" i="3"/>
  <c r="T37" i="5"/>
  <c r="U7" i="5" s="1"/>
  <c r="U24" i="5" s="1"/>
  <c r="V22" i="5" s="1"/>
  <c r="W22" i="5" s="1"/>
  <c r="C22" i="6" s="1"/>
  <c r="I37" i="6"/>
  <c r="J37" i="6" s="1"/>
  <c r="I35" i="6"/>
  <c r="J35" i="6" s="1"/>
  <c r="I28" i="6"/>
  <c r="J28" i="6" s="1"/>
  <c r="I38" i="6"/>
  <c r="J38" i="6" s="1"/>
  <c r="I40" i="6"/>
  <c r="J40" i="6" s="1"/>
  <c r="I32" i="6"/>
  <c r="J32" i="6" s="1"/>
  <c r="I29" i="6"/>
  <c r="J29" i="6" s="1"/>
  <c r="I43" i="6"/>
  <c r="J43" i="6" s="1"/>
  <c r="I30" i="6"/>
  <c r="J30" i="6" s="1"/>
  <c r="I41" i="6"/>
  <c r="J41" i="6" s="1"/>
  <c r="I39" i="6"/>
  <c r="J39" i="6" s="1"/>
  <c r="I31" i="6"/>
  <c r="J31" i="6" s="1"/>
  <c r="I34" i="6"/>
  <c r="J34" i="6" s="1"/>
  <c r="I42" i="6"/>
  <c r="J42" i="6" s="1"/>
  <c r="I36" i="6"/>
  <c r="J36" i="6" s="1"/>
  <c r="I33" i="6"/>
  <c r="J33" i="6" s="1"/>
  <c r="E26" i="3" l="1"/>
  <c r="D22" i="6"/>
  <c r="F22" i="6" s="1"/>
  <c r="E7" i="6"/>
  <c r="E24" i="6" s="1"/>
  <c r="D26" i="3"/>
  <c r="V8" i="5"/>
  <c r="W8" i="5" s="1"/>
  <c r="C8" i="6" s="1"/>
  <c r="V14" i="5"/>
  <c r="W14" i="5" s="1"/>
  <c r="C14" i="6" s="1"/>
  <c r="V21" i="5"/>
  <c r="W21" i="5" s="1"/>
  <c r="C21" i="6" s="1"/>
  <c r="V7" i="5"/>
  <c r="W7" i="5" s="1"/>
  <c r="C7" i="6" s="1"/>
  <c r="V9" i="5"/>
  <c r="W9" i="5" s="1"/>
  <c r="C9" i="6" s="1"/>
  <c r="V15" i="5"/>
  <c r="W15" i="5" s="1"/>
  <c r="C15" i="6" s="1"/>
  <c r="V17" i="5"/>
  <c r="W17" i="5" s="1"/>
  <c r="C17" i="6" s="1"/>
  <c r="V13" i="5"/>
  <c r="W13" i="5" s="1"/>
  <c r="C13" i="6" s="1"/>
  <c r="V18" i="5"/>
  <c r="W18" i="5" s="1"/>
  <c r="C18" i="6" s="1"/>
  <c r="V11" i="5"/>
  <c r="W11" i="5" s="1"/>
  <c r="C11" i="6" s="1"/>
  <c r="V16" i="5"/>
  <c r="W16" i="5" s="1"/>
  <c r="C16" i="6" s="1"/>
  <c r="V20" i="5"/>
  <c r="W20" i="5" s="1"/>
  <c r="C20" i="6" s="1"/>
  <c r="V12" i="5"/>
  <c r="W12" i="5" s="1"/>
  <c r="C12" i="6" s="1"/>
  <c r="V10" i="5"/>
  <c r="W10" i="5" s="1"/>
  <c r="C10" i="6" s="1"/>
  <c r="V19" i="5"/>
  <c r="W19" i="5" s="1"/>
  <c r="C19" i="6" s="1"/>
  <c r="I45" i="6"/>
  <c r="J45" i="6" s="1"/>
  <c r="D19" i="6" l="1"/>
  <c r="F19" i="6" s="1"/>
  <c r="D17" i="6"/>
  <c r="F17" i="6" s="1"/>
  <c r="D20" i="6"/>
  <c r="F20" i="6" s="1"/>
  <c r="D11" i="6"/>
  <c r="F11" i="6" s="1"/>
  <c r="D12" i="6"/>
  <c r="F12" i="6" s="1"/>
  <c r="D18" i="6"/>
  <c r="F18" i="6" s="1"/>
  <c r="D8" i="6"/>
  <c r="F8" i="6" s="1"/>
  <c r="D15" i="6"/>
  <c r="F15" i="6" s="1"/>
  <c r="D7" i="6"/>
  <c r="F7" i="6" s="1"/>
  <c r="D21" i="6"/>
  <c r="F21" i="6" s="1"/>
  <c r="D14" i="6"/>
  <c r="F14" i="6" s="1"/>
  <c r="D13" i="6"/>
  <c r="F13" i="6" s="1"/>
  <c r="D9" i="6"/>
  <c r="F9" i="6" s="1"/>
  <c r="D16" i="6"/>
  <c r="F16" i="6" s="1"/>
  <c r="V24" i="5"/>
  <c r="D10" i="6"/>
  <c r="F10" i="6" s="1"/>
  <c r="C24" i="6"/>
  <c r="W24" i="5"/>
  <c r="D24" i="6" l="1"/>
  <c r="F24" i="6"/>
  <c r="G24" i="6" s="1"/>
  <c r="G17" i="6" l="1"/>
  <c r="H17" i="6" s="1"/>
  <c r="I17" i="6" s="1"/>
  <c r="J17" i="6" s="1"/>
  <c r="G12" i="6"/>
  <c r="H12" i="6" s="1"/>
  <c r="I12" i="6" s="1"/>
  <c r="J12" i="6" s="1"/>
  <c r="G19" i="6"/>
  <c r="H19" i="6" s="1"/>
  <c r="I19" i="6" s="1"/>
  <c r="J19" i="6" s="1"/>
  <c r="G13" i="6"/>
  <c r="H13" i="6" s="1"/>
  <c r="I13" i="6" s="1"/>
  <c r="J13" i="6" s="1"/>
  <c r="G8" i="6"/>
  <c r="H8" i="6" s="1"/>
  <c r="I8" i="6" s="1"/>
  <c r="J8" i="6" s="1"/>
  <c r="G11" i="6"/>
  <c r="H11" i="6" s="1"/>
  <c r="I11" i="6" s="1"/>
  <c r="J11" i="6" s="1"/>
  <c r="G7" i="6"/>
  <c r="H7" i="6" s="1"/>
  <c r="I7" i="6" s="1"/>
  <c r="J7" i="6" s="1"/>
  <c r="G15" i="6"/>
  <c r="H15" i="6" s="1"/>
  <c r="I15" i="6" s="1"/>
  <c r="J15" i="6" s="1"/>
  <c r="G14" i="6"/>
  <c r="H14" i="6" s="1"/>
  <c r="I14" i="6" s="1"/>
  <c r="J14" i="6" s="1"/>
  <c r="G22" i="6"/>
  <c r="H22" i="6" s="1"/>
  <c r="I22" i="6" s="1"/>
  <c r="J22" i="6" s="1"/>
  <c r="G9" i="6"/>
  <c r="H9" i="6" s="1"/>
  <c r="I9" i="6" s="1"/>
  <c r="J9" i="6" s="1"/>
  <c r="G18" i="6"/>
  <c r="H18" i="6" s="1"/>
  <c r="I18" i="6" s="1"/>
  <c r="J18" i="6" s="1"/>
  <c r="G10" i="6"/>
  <c r="H10" i="6" s="1"/>
  <c r="I10" i="6" s="1"/>
  <c r="J10" i="6" s="1"/>
  <c r="G21" i="6"/>
  <c r="H21" i="6" s="1"/>
  <c r="I21" i="6" s="1"/>
  <c r="J21" i="6" s="1"/>
  <c r="G20" i="6"/>
  <c r="H20" i="6" s="1"/>
  <c r="I20" i="6" s="1"/>
  <c r="J20" i="6" s="1"/>
  <c r="G16" i="6"/>
  <c r="H16" i="6" s="1"/>
  <c r="I16" i="6" s="1"/>
  <c r="J16" i="6" s="1"/>
  <c r="I24" i="6" l="1"/>
  <c r="J24" i="6" s="1"/>
</calcChain>
</file>

<file path=xl/sharedStrings.xml><?xml version="1.0" encoding="utf-8"?>
<sst xmlns="http://schemas.openxmlformats.org/spreadsheetml/2006/main" count="449" uniqueCount="153">
  <si>
    <t>TL</t>
  </si>
  <si>
    <t>Molde</t>
  </si>
  <si>
    <t>Strømsgodset</t>
  </si>
  <si>
    <t>Rosenborg</t>
  </si>
  <si>
    <t>Tromsø</t>
  </si>
  <si>
    <t>Viking</t>
  </si>
  <si>
    <t>Brann</t>
  </si>
  <si>
    <t>Haugesund</t>
  </si>
  <si>
    <t>Vålerenga</t>
  </si>
  <si>
    <t>Aalesund</t>
  </si>
  <si>
    <t>Sogndal</t>
  </si>
  <si>
    <t>Sandnes Ulf</t>
  </si>
  <si>
    <t>Fredrikstad</t>
  </si>
  <si>
    <t>Stabæk</t>
  </si>
  <si>
    <t>Sum</t>
  </si>
  <si>
    <t>AL</t>
  </si>
  <si>
    <t>Totalt</t>
  </si>
  <si>
    <t>Klubb</t>
  </si>
  <si>
    <t>Tabell %</t>
  </si>
  <si>
    <t>Flatt 50%</t>
  </si>
  <si>
    <t>Plassering 50%</t>
  </si>
  <si>
    <t>Plass 5 år - 25%</t>
  </si>
  <si>
    <t>Sum 5 år</t>
  </si>
  <si>
    <t>%</t>
  </si>
  <si>
    <t>Tippeliga totalt</t>
  </si>
  <si>
    <t>Stillinger</t>
  </si>
  <si>
    <t>Prosjekt</t>
  </si>
  <si>
    <t>totalt pr kl</t>
  </si>
  <si>
    <t>Totalt NOK</t>
  </si>
  <si>
    <t>pr klubb</t>
  </si>
  <si>
    <t>Rangering</t>
  </si>
  <si>
    <t>Tilskuere</t>
  </si>
  <si>
    <t>Medieomtale</t>
  </si>
  <si>
    <t>% andel</t>
  </si>
  <si>
    <t>Kommersiell</t>
  </si>
  <si>
    <t>Tabellplassering</t>
  </si>
  <si>
    <t>Sport</t>
  </si>
  <si>
    <t>Utvikling</t>
  </si>
  <si>
    <t>Totalt Kommersiell TL/AL</t>
  </si>
  <si>
    <t>Andel Tippeliga - 81 %</t>
  </si>
  <si>
    <t>F prosjekter</t>
  </si>
  <si>
    <t>Tilskuertall 1/3</t>
  </si>
  <si>
    <t>Ut av hovedrunde H/B 1/3</t>
  </si>
  <si>
    <t>Medieomtale 1/3</t>
  </si>
  <si>
    <t>Snitt</t>
  </si>
  <si>
    <t>Plass.</t>
  </si>
  <si>
    <t>2012</t>
  </si>
  <si>
    <t xml:space="preserve">Snitt </t>
  </si>
  <si>
    <t>Plasserings</t>
  </si>
  <si>
    <t>Tilskuertall</t>
  </si>
  <si>
    <t>Faktor</t>
  </si>
  <si>
    <t xml:space="preserve">Tilskuertall </t>
  </si>
  <si>
    <t>3år</t>
  </si>
  <si>
    <t>3 år</t>
  </si>
  <si>
    <t>11</t>
  </si>
  <si>
    <t>12</t>
  </si>
  <si>
    <t>7</t>
  </si>
  <si>
    <t>6</t>
  </si>
  <si>
    <t>8</t>
  </si>
  <si>
    <t>5</t>
  </si>
  <si>
    <t>13</t>
  </si>
  <si>
    <t>15</t>
  </si>
  <si>
    <t>14</t>
  </si>
  <si>
    <t>4</t>
  </si>
  <si>
    <t>1</t>
  </si>
  <si>
    <t>9</t>
  </si>
  <si>
    <t>3</t>
  </si>
  <si>
    <t>2</t>
  </si>
  <si>
    <t>10</t>
  </si>
  <si>
    <t>Ut av hovedrunde H/B</t>
  </si>
  <si>
    <t>snitt</t>
  </si>
  <si>
    <t>Medieomtale - web og papir</t>
  </si>
  <si>
    <t>Oppslag</t>
  </si>
  <si>
    <t>16</t>
  </si>
  <si>
    <t>snitt 3 år</t>
  </si>
  <si>
    <t>Ut av H.runden</t>
  </si>
  <si>
    <t>Plass kvotient</t>
  </si>
  <si>
    <t xml:space="preserve">Sport </t>
  </si>
  <si>
    <t xml:space="preserve">Totalt </t>
  </si>
  <si>
    <t>Modell 2013-16</t>
  </si>
  <si>
    <t>Sport og kommersiell</t>
  </si>
  <si>
    <t>Prosjekt-</t>
  </si>
  <si>
    <t>kostnader</t>
  </si>
  <si>
    <t>Rangert</t>
  </si>
  <si>
    <t>SUM</t>
  </si>
  <si>
    <t>Rang</t>
  </si>
  <si>
    <t>E-cup</t>
  </si>
  <si>
    <t>Til fordeling</t>
  </si>
  <si>
    <t>28% fellesprosjekt TL</t>
  </si>
  <si>
    <t>Avsatt E-cupforberedelser - lån</t>
  </si>
  <si>
    <t>Til fordeling klubb</t>
  </si>
  <si>
    <t>Tippeliga</t>
  </si>
  <si>
    <t>Komm prosjekter TL</t>
  </si>
  <si>
    <t>Sub-Total</t>
  </si>
  <si>
    <t>Start</t>
  </si>
  <si>
    <t>Bodø/Glimt</t>
  </si>
  <si>
    <t>Kristiansund</t>
  </si>
  <si>
    <t>Sandefjord</t>
  </si>
  <si>
    <t>Hødd</t>
  </si>
  <si>
    <t>Mjøndalen</t>
  </si>
  <si>
    <t>Strømmen</t>
  </si>
  <si>
    <t>Odd</t>
  </si>
  <si>
    <t>Ranheim</t>
  </si>
  <si>
    <t>HamKam</t>
  </si>
  <si>
    <t>Ull/Kisa</t>
  </si>
  <si>
    <t>2013</t>
  </si>
  <si>
    <t>Vektet</t>
  </si>
  <si>
    <t>Pr klubb</t>
  </si>
  <si>
    <t>Vektingsfaktor</t>
  </si>
  <si>
    <t>Andel pr klubb</t>
  </si>
  <si>
    <t>Kr</t>
  </si>
  <si>
    <t>Mva</t>
  </si>
  <si>
    <t>inkl mva</t>
  </si>
  <si>
    <t xml:space="preserve">Netto </t>
  </si>
  <si>
    <t>eksl mva</t>
  </si>
  <si>
    <t>Bryne</t>
  </si>
  <si>
    <t>Busjett 2014</t>
  </si>
  <si>
    <t>Hønefoss</t>
  </si>
  <si>
    <t>TUIL</t>
  </si>
  <si>
    <t>Bærum</t>
  </si>
  <si>
    <t>Alta</t>
  </si>
  <si>
    <t>Utvikling prosjekt</t>
  </si>
  <si>
    <t xml:space="preserve">Molde </t>
  </si>
  <si>
    <t>Lillestrøm</t>
  </si>
  <si>
    <t>Sarpsborg-08</t>
  </si>
  <si>
    <t>Tromsdalen</t>
  </si>
  <si>
    <t>Cash</t>
  </si>
  <si>
    <t>til fordeling</t>
  </si>
  <si>
    <t>Plass 2014 - 25%</t>
  </si>
  <si>
    <t>1. divisjon</t>
  </si>
  <si>
    <t>1. divisjon totalt</t>
  </si>
  <si>
    <t xml:space="preserve">Utvikling TL og 1. divisjon </t>
  </si>
  <si>
    <t>TL - sport</t>
  </si>
  <si>
    <t>2014</t>
  </si>
  <si>
    <t>2014 per aug</t>
  </si>
  <si>
    <t>Ut av H.runde</t>
  </si>
  <si>
    <t>M.omtale</t>
  </si>
  <si>
    <t>Komm faktor</t>
  </si>
  <si>
    <t>Snitt 3 år</t>
  </si>
  <si>
    <t>Plassering</t>
  </si>
  <si>
    <t>Nest-Sotra</t>
  </si>
  <si>
    <t>Sport &amp; kommersiell endelig nov 2014</t>
  </si>
  <si>
    <t>Verdi klubbrettigheter 2014</t>
  </si>
  <si>
    <t>Fordeling klubb 2014</t>
  </si>
  <si>
    <t>Strømsgodet</t>
  </si>
  <si>
    <t>Kommersiell - rangering etter plassering november 2014</t>
  </si>
  <si>
    <t>Sammendrag per november 2014</t>
  </si>
  <si>
    <t>november</t>
  </si>
  <si>
    <t xml:space="preserve">Rest </t>
  </si>
  <si>
    <t>Rest</t>
  </si>
  <si>
    <t>November</t>
  </si>
  <si>
    <t>Endelig november 2014</t>
  </si>
  <si>
    <t>Kommersiell TL - endelig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</si>
</sst>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</cellStyleXfs>
  <cellXfs count="147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2" fontId="0" fillId="0" borderId="1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Fill="1" applyBorder="1"/>
    <xf numFmtId="165" fontId="0" fillId="0" borderId="19" xfId="0" applyNumberFormat="1" applyBorder="1" applyAlignment="1">
      <alignment horizontal="center"/>
    </xf>
    <xf numFmtId="0" fontId="16" fillId="0" borderId="12" xfId="0" applyFont="1" applyBorder="1"/>
    <xf numFmtId="165" fontId="0" fillId="0" borderId="0" xfId="0" applyNumberForma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5" xfId="0" applyBorder="1"/>
    <xf numFmtId="3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1" xfId="0" applyFont="1" applyBorder="1"/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16" fillId="0" borderId="13" xfId="0" applyFont="1" applyBorder="1"/>
    <xf numFmtId="3" fontId="0" fillId="0" borderId="0" xfId="0" applyNumberFormat="1" applyBorder="1"/>
    <xf numFmtId="0" fontId="16" fillId="0" borderId="1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0" fillId="0" borderId="14" xfId="0" applyNumberFormat="1" applyBorder="1"/>
    <xf numFmtId="0" fontId="16" fillId="0" borderId="13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1" xfId="0" applyBorder="1"/>
    <xf numFmtId="0" fontId="16" fillId="0" borderId="10" xfId="0" applyFont="1" applyBorder="1"/>
    <xf numFmtId="49" fontId="16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9" fontId="21" fillId="0" borderId="0" xfId="0" applyNumberFormat="1" applyFont="1" applyBorder="1" applyAlignment="1">
      <alignment horizontal="center"/>
    </xf>
    <xf numFmtId="3" fontId="16" fillId="0" borderId="0" xfId="0" applyNumberFormat="1" applyFont="1" applyBorder="1"/>
    <xf numFmtId="49" fontId="16" fillId="0" borderId="14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0" fillId="0" borderId="13" xfId="0" applyFont="1" applyBorder="1"/>
    <xf numFmtId="166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66" fontId="0" fillId="0" borderId="0" xfId="0" applyNumberFormat="1" applyBorder="1"/>
    <xf numFmtId="167" fontId="0" fillId="0" borderId="14" xfId="0" applyNumberFormat="1" applyBorder="1"/>
    <xf numFmtId="165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0" xfId="0" applyBorder="1"/>
    <xf numFmtId="49" fontId="16" fillId="0" borderId="11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15" xfId="0" applyFont="1" applyFill="1" applyBorder="1"/>
    <xf numFmtId="166" fontId="0" fillId="0" borderId="1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/>
    <xf numFmtId="167" fontId="0" fillId="0" borderId="0" xfId="0" applyNumberFormat="1" applyBorder="1" applyAlignment="1">
      <alignment horizontal="center"/>
    </xf>
    <xf numFmtId="0" fontId="0" fillId="0" borderId="24" xfId="0" applyFont="1" applyBorder="1"/>
    <xf numFmtId="167" fontId="0" fillId="0" borderId="25" xfId="0" applyNumberFormat="1" applyBorder="1" applyAlignment="1">
      <alignment horizontal="center"/>
    </xf>
    <xf numFmtId="0" fontId="0" fillId="0" borderId="26" xfId="0" applyFont="1" applyFill="1" applyBorder="1"/>
    <xf numFmtId="0" fontId="0" fillId="0" borderId="27" xfId="0" applyBorder="1"/>
    <xf numFmtId="167" fontId="0" fillId="0" borderId="27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16" fillId="0" borderId="29" xfId="0" applyFont="1" applyBorder="1"/>
    <xf numFmtId="0" fontId="16" fillId="0" borderId="31" xfId="0" applyFont="1" applyBorder="1"/>
    <xf numFmtId="0" fontId="0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4" fontId="0" fillId="0" borderId="2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2" fillId="0" borderId="13" xfId="0" applyFont="1" applyFill="1" applyBorder="1"/>
    <xf numFmtId="0" fontId="0" fillId="0" borderId="17" xfId="0" applyBorder="1"/>
    <xf numFmtId="3" fontId="18" fillId="0" borderId="0" xfId="0" applyNumberFormat="1" applyFont="1"/>
    <xf numFmtId="0" fontId="18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2" fillId="0" borderId="13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9" fontId="24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32" xfId="0" applyBorder="1"/>
    <xf numFmtId="0" fontId="0" fillId="0" borderId="0" xfId="0" applyFont="1" applyBorder="1"/>
    <xf numFmtId="0" fontId="19" fillId="0" borderId="10" xfId="0" applyFont="1" applyBorder="1"/>
    <xf numFmtId="0" fontId="0" fillId="0" borderId="11" xfId="0" applyFont="1" applyBorder="1"/>
    <xf numFmtId="16" fontId="16" fillId="0" borderId="1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30" xfId="0" applyFont="1" applyBorder="1"/>
    <xf numFmtId="0" fontId="0" fillId="0" borderId="35" xfId="0" applyBorder="1"/>
    <xf numFmtId="0" fontId="16" fillId="0" borderId="36" xfId="0" applyFont="1" applyBorder="1"/>
    <xf numFmtId="0" fontId="16" fillId="0" borderId="2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167" fontId="16" fillId="0" borderId="28" xfId="0" applyNumberFormat="1" applyFont="1" applyBorder="1" applyAlignment="1">
      <alignment horizontal="center"/>
    </xf>
    <xf numFmtId="0" fontId="16" fillId="0" borderId="28" xfId="0" applyFont="1" applyBorder="1"/>
    <xf numFmtId="0" fontId="23" fillId="0" borderId="12" xfId="0" applyFont="1" applyBorder="1"/>
    <xf numFmtId="0" fontId="23" fillId="0" borderId="14" xfId="0" applyFont="1" applyBorder="1"/>
    <xf numFmtId="3" fontId="0" fillId="0" borderId="20" xfId="0" applyNumberFormat="1" applyBorder="1"/>
    <xf numFmtId="0" fontId="23" fillId="0" borderId="14" xfId="0" applyFont="1" applyBorder="1" applyAlignment="1">
      <alignment horizontal="center"/>
    </xf>
  </cellXfs>
  <cellStyles count="13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ormal 10" xfId="42"/>
    <cellStyle name="Normal 11" xfId="43"/>
    <cellStyle name="Normal 12" xfId="44"/>
    <cellStyle name="Normal 13" xfId="45"/>
    <cellStyle name="Normal 14" xfId="46"/>
    <cellStyle name="Normal 15" xfId="47"/>
    <cellStyle name="Normal 2" xfId="48"/>
    <cellStyle name="Normal 2 10" xfId="49"/>
    <cellStyle name="Normal 2 11" xfId="50"/>
    <cellStyle name="Normal 2 12" xfId="51"/>
    <cellStyle name="Normal 2 13" xfId="52"/>
    <cellStyle name="Normal 2 14" xfId="53"/>
    <cellStyle name="Normal 2 15" xfId="54"/>
    <cellStyle name="Normal 2 16" xfId="55"/>
    <cellStyle name="Normal 2 17" xfId="56"/>
    <cellStyle name="Normal 2 18" xfId="57"/>
    <cellStyle name="Normal 2 19" xfId="58"/>
    <cellStyle name="Normal 2 2" xfId="59"/>
    <cellStyle name="Normal 2 20" xfId="60"/>
    <cellStyle name="Normal 2 21" xfId="61"/>
    <cellStyle name="Normal 2 22" xfId="62"/>
    <cellStyle name="Normal 2 23" xfId="63"/>
    <cellStyle name="Normal 2 24" xfId="64"/>
    <cellStyle name="Normal 2 25" xfId="65"/>
    <cellStyle name="Normal 2 26" xfId="66"/>
    <cellStyle name="Normal 2 27" xfId="67"/>
    <cellStyle name="Normal 2 28" xfId="68"/>
    <cellStyle name="Normal 2 29" xfId="69"/>
    <cellStyle name="Normal 2 3" xfId="70"/>
    <cellStyle name="Normal 2 30" xfId="71"/>
    <cellStyle name="Normal 2 31" xfId="72"/>
    <cellStyle name="Normal 2 32" xfId="73"/>
    <cellStyle name="Normal 2 33" xfId="74"/>
    <cellStyle name="Normal 2 34" xfId="75"/>
    <cellStyle name="Normal 2 35" xfId="76"/>
    <cellStyle name="Normal 2 36" xfId="77"/>
    <cellStyle name="Normal 2 37" xfId="78"/>
    <cellStyle name="Normal 2 38" xfId="79"/>
    <cellStyle name="Normal 2 39" xfId="80"/>
    <cellStyle name="Normal 2 4" xfId="81"/>
    <cellStyle name="Normal 2 40" xfId="82"/>
    <cellStyle name="Normal 2 41" xfId="83"/>
    <cellStyle name="Normal 2 42" xfId="84"/>
    <cellStyle name="Normal 2 43" xfId="85"/>
    <cellStyle name="Normal 2 44" xfId="86"/>
    <cellStyle name="Normal 2 45" xfId="87"/>
    <cellStyle name="Normal 2 46" xfId="88"/>
    <cellStyle name="Normal 2 5" xfId="89"/>
    <cellStyle name="Normal 2 6" xfId="90"/>
    <cellStyle name="Normal 2 7" xfId="91"/>
    <cellStyle name="Normal 2 8" xfId="92"/>
    <cellStyle name="Normal 2 9" xfId="93"/>
    <cellStyle name="Normal 3 10" xfId="94"/>
    <cellStyle name="Normal 3 11" xfId="95"/>
    <cellStyle name="Normal 3 12" xfId="96"/>
    <cellStyle name="Normal 3 13" xfId="97"/>
    <cellStyle name="Normal 3 14" xfId="98"/>
    <cellStyle name="Normal 3 15" xfId="99"/>
    <cellStyle name="Normal 3 16" xfId="100"/>
    <cellStyle name="Normal 3 17" xfId="101"/>
    <cellStyle name="Normal 3 18" xfId="102"/>
    <cellStyle name="Normal 3 19" xfId="103"/>
    <cellStyle name="Normal 3 2" xfId="104"/>
    <cellStyle name="Normal 3 20" xfId="105"/>
    <cellStyle name="Normal 3 21" xfId="106"/>
    <cellStyle name="Normal 3 22" xfId="107"/>
    <cellStyle name="Normal 3 23" xfId="108"/>
    <cellStyle name="Normal 3 24" xfId="109"/>
    <cellStyle name="Normal 3 25" xfId="110"/>
    <cellStyle name="Normal 3 26" xfId="111"/>
    <cellStyle name="Normal 3 27" xfId="112"/>
    <cellStyle name="Normal 3 28" xfId="113"/>
    <cellStyle name="Normal 3 29" xfId="114"/>
    <cellStyle name="Normal 3 3" xfId="115"/>
    <cellStyle name="Normal 3 30" xfId="116"/>
    <cellStyle name="Normal 3 31" xfId="117"/>
    <cellStyle name="Normal 3 32" xfId="118"/>
    <cellStyle name="Normal 3 33" xfId="119"/>
    <cellStyle name="Normal 3 34" xfId="120"/>
    <cellStyle name="Normal 3 35" xfId="121"/>
    <cellStyle name="Normal 3 4" xfId="122"/>
    <cellStyle name="Normal 3 5" xfId="123"/>
    <cellStyle name="Normal 3 6" xfId="124"/>
    <cellStyle name="Normal 3 7" xfId="125"/>
    <cellStyle name="Normal 3 8" xfId="126"/>
    <cellStyle name="Normal 3 9" xfId="127"/>
    <cellStyle name="Normal 4" xfId="128"/>
    <cellStyle name="Normal 5" xfId="129"/>
    <cellStyle name="Normal 6" xfId="130"/>
    <cellStyle name="Normal 7" xfId="131"/>
    <cellStyle name="Normal 8" xfId="132"/>
    <cellStyle name="Normal 9" xfId="133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B1" sqref="B1"/>
    </sheetView>
  </sheetViews>
  <sheetFormatPr baseColWidth="10" defaultRowHeight="15" x14ac:dyDescent="0.25"/>
  <cols>
    <col min="1" max="1" width="20.140625" customWidth="1"/>
    <col min="2" max="2" width="16" customWidth="1"/>
    <col min="3" max="3" width="13.42578125" customWidth="1"/>
    <col min="4" max="4" width="14.28515625" customWidth="1"/>
    <col min="5" max="5" width="15.28515625" customWidth="1"/>
    <col min="6" max="6" width="15.85546875" customWidth="1"/>
  </cols>
  <sheetData>
    <row r="1" spans="1:6" ht="18.75" x14ac:dyDescent="0.3">
      <c r="A1" s="3" t="s">
        <v>142</v>
      </c>
    </row>
    <row r="2" spans="1:6" s="16" customFormat="1" ht="18.75" x14ac:dyDescent="0.3">
      <c r="A2" s="3"/>
      <c r="B2" s="105" t="s">
        <v>16</v>
      </c>
      <c r="C2" s="105" t="s">
        <v>0</v>
      </c>
      <c r="D2" s="105" t="s">
        <v>129</v>
      </c>
    </row>
    <row r="3" spans="1:6" s="16" customFormat="1" ht="15.75" x14ac:dyDescent="0.25">
      <c r="A3" s="2" t="s">
        <v>116</v>
      </c>
      <c r="B3" s="107">
        <v>235000000</v>
      </c>
    </row>
    <row r="4" spans="1:6" ht="15.75" x14ac:dyDescent="0.25">
      <c r="A4" s="104" t="s">
        <v>86</v>
      </c>
      <c r="B4" s="107">
        <v>3000000</v>
      </c>
      <c r="C4" s="107"/>
      <c r="D4" s="39"/>
    </row>
    <row r="5" spans="1:6" s="16" customFormat="1" ht="15.75" x14ac:dyDescent="0.25">
      <c r="A5" s="104"/>
      <c r="B5" s="107"/>
      <c r="C5" s="106"/>
      <c r="D5" s="39"/>
    </row>
    <row r="6" spans="1:6" ht="15.75" x14ac:dyDescent="0.25">
      <c r="A6" s="1" t="s">
        <v>87</v>
      </c>
      <c r="B6" s="107">
        <f>SUM(B3-B4)</f>
        <v>232000000</v>
      </c>
      <c r="C6" s="107">
        <f>SUM(B6*0.81)</f>
        <v>187920000</v>
      </c>
      <c r="D6" s="8">
        <f>SUM(B6*0.19)</f>
        <v>44080000</v>
      </c>
      <c r="E6" s="39">
        <f>SUM(C6:D6)</f>
        <v>232000000</v>
      </c>
    </row>
    <row r="7" spans="1:6" s="16" customFormat="1" ht="15.75" x14ac:dyDescent="0.25">
      <c r="A7" s="1"/>
      <c r="B7" s="107"/>
      <c r="C7" s="107"/>
      <c r="D7" s="8"/>
    </row>
    <row r="8" spans="1:6" x14ac:dyDescent="0.25">
      <c r="A8" s="92" t="s">
        <v>36</v>
      </c>
      <c r="B8" s="23">
        <f>SUM(B6*0.7664)</f>
        <v>177804800</v>
      </c>
      <c r="C8" s="23">
        <f>SUM(C6*0.7664)</f>
        <v>144021888</v>
      </c>
      <c r="D8" s="23">
        <f>SUM(D6*0.7664)</f>
        <v>33782912</v>
      </c>
      <c r="E8" s="20"/>
      <c r="F8" s="1"/>
    </row>
    <row r="9" spans="1:6" x14ac:dyDescent="0.25">
      <c r="A9" s="22" t="s">
        <v>34</v>
      </c>
      <c r="B9" s="23">
        <f>SUM(B6*0.1229)</f>
        <v>28512800</v>
      </c>
      <c r="C9" s="23">
        <f>SUM(B9*0.81-4000000)</f>
        <v>19095368</v>
      </c>
      <c r="D9" s="23">
        <f>SUM(B9*0.19)</f>
        <v>5417432</v>
      </c>
      <c r="E9" s="23">
        <f>SUM(C9+D9+C10)</f>
        <v>28512800</v>
      </c>
      <c r="F9" s="23"/>
    </row>
    <row r="10" spans="1:6" x14ac:dyDescent="0.25">
      <c r="A10" s="22" t="s">
        <v>88</v>
      </c>
      <c r="B10" s="23"/>
      <c r="C10" s="23">
        <v>4000000</v>
      </c>
      <c r="D10" s="23"/>
      <c r="E10" s="23"/>
      <c r="F10" s="23"/>
    </row>
    <row r="11" spans="1:6" x14ac:dyDescent="0.25">
      <c r="A11" s="22" t="s">
        <v>37</v>
      </c>
      <c r="B11" s="23">
        <v>24690500</v>
      </c>
      <c r="C11" s="23">
        <f>SUM(B11*0.81)</f>
        <v>19999305</v>
      </c>
      <c r="D11" s="23">
        <f>SUM(B11*0.19)</f>
        <v>4691195</v>
      </c>
      <c r="E11" s="23"/>
      <c r="F11" s="23"/>
    </row>
    <row r="12" spans="1:6" x14ac:dyDescent="0.25">
      <c r="A12" s="22" t="s">
        <v>121</v>
      </c>
      <c r="B12" s="23">
        <v>991900</v>
      </c>
      <c r="C12" s="23">
        <v>803439</v>
      </c>
      <c r="D12" s="23">
        <v>188461</v>
      </c>
      <c r="E12" s="23"/>
      <c r="F12" s="23"/>
    </row>
    <row r="13" spans="1:6" x14ac:dyDescent="0.25">
      <c r="A13" s="22" t="s">
        <v>16</v>
      </c>
      <c r="B13" s="23">
        <f>SUM(B8:B12)</f>
        <v>232000000</v>
      </c>
      <c r="C13" s="23">
        <f>SUM(C8:C12)</f>
        <v>187920000</v>
      </c>
      <c r="D13" s="23">
        <f>SUM(D8:D12)</f>
        <v>44080000</v>
      </c>
      <c r="E13" s="23">
        <f>SUM(C13:D13)</f>
        <v>232000000</v>
      </c>
      <c r="F13" s="23"/>
    </row>
    <row r="14" spans="1:6" x14ac:dyDescent="0.25">
      <c r="A14" s="22"/>
      <c r="B14" s="23"/>
      <c r="C14" s="23"/>
      <c r="D14" s="23"/>
      <c r="E14" s="23"/>
      <c r="F14" s="23"/>
    </row>
    <row r="15" spans="1:6" x14ac:dyDescent="0.25">
      <c r="A15" s="22"/>
      <c r="B15" s="23"/>
      <c r="C15" s="23"/>
      <c r="D15" s="23"/>
      <c r="E15" s="23"/>
      <c r="F15" s="23"/>
    </row>
    <row r="16" spans="1:6" x14ac:dyDescent="0.25">
      <c r="A16" s="22"/>
      <c r="B16" s="23"/>
      <c r="C16" s="23"/>
      <c r="D16" s="23"/>
      <c r="E16" s="23"/>
      <c r="F16" s="23"/>
    </row>
    <row r="17" spans="1:8" x14ac:dyDescent="0.25">
      <c r="A17" s="22"/>
      <c r="B17" s="23"/>
      <c r="C17" s="23"/>
      <c r="D17" s="23"/>
      <c r="E17" s="23"/>
      <c r="F17" s="23"/>
    </row>
    <row r="18" spans="1:8" x14ac:dyDescent="0.25">
      <c r="A18" s="22"/>
      <c r="B18" s="23"/>
      <c r="C18" s="23"/>
      <c r="D18" s="23"/>
      <c r="E18" s="23"/>
      <c r="F18" s="23"/>
    </row>
    <row r="19" spans="1:8" x14ac:dyDescent="0.25">
      <c r="A19" s="22"/>
      <c r="B19" s="23"/>
      <c r="C19" s="23"/>
      <c r="D19" s="23"/>
      <c r="E19" s="23"/>
      <c r="F19" s="23"/>
      <c r="H19" s="17"/>
    </row>
    <row r="20" spans="1:8" x14ac:dyDescent="0.25">
      <c r="A20" s="22"/>
      <c r="B20" s="23"/>
      <c r="C20" s="23"/>
      <c r="D20" s="23"/>
      <c r="E20" s="23"/>
      <c r="F20" s="23"/>
    </row>
    <row r="21" spans="1:8" x14ac:dyDescent="0.25">
      <c r="A21" s="22"/>
      <c r="B21" s="23"/>
      <c r="C21" s="23"/>
      <c r="D21" s="23"/>
      <c r="E21" s="23"/>
      <c r="F21" s="23"/>
    </row>
    <row r="22" spans="1:8" x14ac:dyDescent="0.25">
      <c r="A22" s="22"/>
      <c r="B22" s="23"/>
      <c r="C22" s="23"/>
      <c r="D22" s="23"/>
      <c r="E22" s="23"/>
      <c r="F22" s="23"/>
    </row>
    <row r="23" spans="1:8" x14ac:dyDescent="0.25">
      <c r="A23" s="22"/>
      <c r="B23" s="23"/>
      <c r="C23" s="23"/>
      <c r="D23" s="23"/>
      <c r="E23" s="23"/>
      <c r="F23" s="23"/>
    </row>
    <row r="24" spans="1:8" x14ac:dyDescent="0.25">
      <c r="A24" s="22"/>
      <c r="B24" s="23"/>
      <c r="C24" s="23"/>
      <c r="D24" s="23"/>
      <c r="E24" s="23"/>
      <c r="F24" s="23"/>
    </row>
    <row r="25" spans="1:8" x14ac:dyDescent="0.25">
      <c r="A25" s="22"/>
      <c r="B25" s="23"/>
      <c r="C25" s="23"/>
      <c r="D25" s="23"/>
      <c r="E25" s="20"/>
    </row>
    <row r="26" spans="1:8" x14ac:dyDescent="0.25">
      <c r="A26" s="22"/>
      <c r="B26" s="23"/>
      <c r="C26" s="23"/>
      <c r="D26" s="23"/>
      <c r="E26" s="23"/>
      <c r="F26" s="23"/>
    </row>
    <row r="27" spans="1:8" x14ac:dyDescent="0.25">
      <c r="A27" s="20"/>
      <c r="B27" s="23"/>
      <c r="C27" s="23"/>
      <c r="D27" s="23"/>
      <c r="E27" s="20"/>
    </row>
    <row r="28" spans="1:8" x14ac:dyDescent="0.25">
      <c r="A28" s="35"/>
      <c r="B28" s="15"/>
      <c r="C28" s="23"/>
      <c r="D28" s="15"/>
      <c r="E28" s="35"/>
    </row>
    <row r="29" spans="1:8" x14ac:dyDescent="0.25">
      <c r="A29" s="22"/>
      <c r="B29" s="20"/>
      <c r="C29" s="20"/>
      <c r="D29" s="20"/>
      <c r="E29" s="35"/>
    </row>
    <row r="30" spans="1:8" x14ac:dyDescent="0.25">
      <c r="A30" s="22"/>
      <c r="B30" s="23"/>
      <c r="C30" s="23"/>
      <c r="D30" s="23"/>
      <c r="E30" s="23"/>
      <c r="F30" s="39"/>
    </row>
    <row r="31" spans="1:8" x14ac:dyDescent="0.25">
      <c r="A31" s="22"/>
      <c r="B31" s="23"/>
      <c r="C31" s="23"/>
      <c r="D31" s="23"/>
      <c r="E31" s="23"/>
      <c r="F31" s="39"/>
    </row>
    <row r="32" spans="1:8" x14ac:dyDescent="0.25">
      <c r="A32" s="22"/>
      <c r="B32" s="23"/>
      <c r="C32" s="23"/>
      <c r="D32" s="23"/>
      <c r="E32" s="23"/>
      <c r="F32" s="39"/>
    </row>
    <row r="33" spans="1:6" x14ac:dyDescent="0.25">
      <c r="A33" s="22"/>
      <c r="B33" s="23"/>
      <c r="C33" s="23"/>
      <c r="D33" s="23"/>
      <c r="E33" s="23"/>
      <c r="F33" s="39"/>
    </row>
    <row r="34" spans="1:6" x14ac:dyDescent="0.25">
      <c r="A34" s="22"/>
      <c r="B34" s="23"/>
      <c r="C34" s="23"/>
      <c r="D34" s="23"/>
      <c r="E34" s="23"/>
      <c r="F34" s="39"/>
    </row>
    <row r="35" spans="1:6" x14ac:dyDescent="0.25">
      <c r="A35" s="22"/>
      <c r="B35" s="23"/>
      <c r="C35" s="23"/>
      <c r="D35" s="23"/>
      <c r="E35" s="23"/>
      <c r="F35" s="39"/>
    </row>
    <row r="36" spans="1:6" x14ac:dyDescent="0.25">
      <c r="A36" s="22"/>
      <c r="B36" s="23"/>
      <c r="C36" s="23"/>
      <c r="D36" s="23"/>
      <c r="E36" s="23"/>
      <c r="F36" s="39"/>
    </row>
    <row r="37" spans="1:6" x14ac:dyDescent="0.25">
      <c r="A37" s="22"/>
      <c r="B37" s="23"/>
      <c r="C37" s="23"/>
      <c r="D37" s="23"/>
      <c r="E37" s="23"/>
      <c r="F37" s="39"/>
    </row>
    <row r="38" spans="1:6" x14ac:dyDescent="0.25">
      <c r="A38" s="22"/>
      <c r="B38" s="23"/>
      <c r="C38" s="23"/>
      <c r="D38" s="23"/>
      <c r="E38" s="23"/>
      <c r="F38" s="39"/>
    </row>
    <row r="39" spans="1:6" x14ac:dyDescent="0.25">
      <c r="A39" s="22"/>
      <c r="B39" s="23"/>
      <c r="C39" s="23"/>
      <c r="D39" s="23"/>
      <c r="E39" s="23"/>
      <c r="F39" s="39"/>
    </row>
    <row r="40" spans="1:6" x14ac:dyDescent="0.25">
      <c r="A40" s="22"/>
      <c r="B40" s="23"/>
      <c r="C40" s="23"/>
      <c r="D40" s="23"/>
      <c r="E40" s="23"/>
      <c r="F40" s="39"/>
    </row>
    <row r="41" spans="1:6" x14ac:dyDescent="0.25">
      <c r="A41" s="22"/>
      <c r="B41" s="23"/>
      <c r="C41" s="23"/>
      <c r="D41" s="23"/>
      <c r="E41" s="23"/>
      <c r="F41" s="39"/>
    </row>
    <row r="42" spans="1:6" x14ac:dyDescent="0.25">
      <c r="A42" s="22"/>
      <c r="B42" s="23"/>
      <c r="C42" s="23"/>
      <c r="D42" s="23"/>
      <c r="E42" s="23"/>
      <c r="F42" s="39"/>
    </row>
    <row r="43" spans="1:6" x14ac:dyDescent="0.25">
      <c r="A43" s="22"/>
      <c r="B43" s="23"/>
      <c r="C43" s="23"/>
      <c r="D43" s="23"/>
      <c r="E43" s="23"/>
      <c r="F43" s="39"/>
    </row>
    <row r="44" spans="1:6" x14ac:dyDescent="0.25">
      <c r="A44" s="22"/>
      <c r="B44" s="23"/>
      <c r="C44" s="23"/>
      <c r="D44" s="23"/>
      <c r="E44" s="23"/>
      <c r="F44" s="39"/>
    </row>
    <row r="45" spans="1:6" x14ac:dyDescent="0.25">
      <c r="A45" s="22"/>
      <c r="B45" s="23"/>
      <c r="C45" s="23"/>
      <c r="D45" s="23"/>
      <c r="E45" s="23"/>
      <c r="F45" s="39"/>
    </row>
    <row r="46" spans="1:6" x14ac:dyDescent="0.25">
      <c r="A46" s="22"/>
      <c r="B46" s="23"/>
      <c r="C46" s="23"/>
      <c r="D46" s="23"/>
      <c r="E46" s="23"/>
    </row>
    <row r="47" spans="1:6" ht="15.75" thickBot="1" x14ac:dyDescent="0.3">
      <c r="A47" s="22"/>
      <c r="B47" s="23"/>
      <c r="C47" s="23"/>
      <c r="D47" s="23"/>
      <c r="E47" s="23"/>
      <c r="F47" s="3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activeCell="A18" sqref="A18"/>
    </sheetView>
  </sheetViews>
  <sheetFormatPr baseColWidth="10" defaultRowHeight="15" x14ac:dyDescent="0.25"/>
  <cols>
    <col min="1" max="1" width="19" customWidth="1"/>
    <col min="2" max="2" width="12" customWidth="1"/>
    <col min="3" max="3" width="11.85546875" customWidth="1"/>
    <col min="4" max="4" width="11.85546875" style="16" customWidth="1"/>
    <col min="7" max="7" width="15.5703125" bestFit="1" customWidth="1"/>
    <col min="9" max="9" width="11.42578125" style="16"/>
    <col min="12" max="12" width="17.85546875" bestFit="1" customWidth="1"/>
  </cols>
  <sheetData>
    <row r="1" spans="1:19" ht="18.75" x14ac:dyDescent="0.3">
      <c r="A1" s="119" t="s">
        <v>143</v>
      </c>
      <c r="B1" s="51"/>
      <c r="C1" s="51"/>
      <c r="D1" s="51"/>
      <c r="E1" s="51"/>
      <c r="F1" s="51"/>
      <c r="G1" s="51"/>
      <c r="H1" s="51"/>
      <c r="I1" s="51"/>
      <c r="J1" s="18"/>
      <c r="L1" s="1"/>
    </row>
    <row r="2" spans="1:19" ht="15.75" thickBot="1" x14ac:dyDescent="0.3">
      <c r="A2" s="24"/>
      <c r="B2" s="26"/>
      <c r="C2" s="26"/>
      <c r="D2" s="26"/>
      <c r="E2" s="26"/>
      <c r="F2" s="26"/>
      <c r="G2" s="26"/>
      <c r="H2" s="26"/>
      <c r="I2" s="26"/>
      <c r="J2" s="103"/>
      <c r="L2" s="1"/>
    </row>
    <row r="3" spans="1:19" x14ac:dyDescent="0.25">
      <c r="A3" s="52" t="s">
        <v>79</v>
      </c>
      <c r="B3" s="120"/>
      <c r="C3" s="120"/>
      <c r="D3" s="120"/>
      <c r="E3" s="120"/>
      <c r="F3" s="120"/>
      <c r="G3" s="120"/>
      <c r="H3" s="120"/>
      <c r="I3" s="120"/>
      <c r="J3" s="132"/>
      <c r="K3" s="118"/>
      <c r="L3" s="37"/>
      <c r="M3" s="118"/>
      <c r="N3" s="118"/>
      <c r="O3" s="118"/>
      <c r="P3" s="118"/>
      <c r="Q3" s="118"/>
      <c r="R3" s="118"/>
      <c r="S3" s="118"/>
    </row>
    <row r="4" spans="1:19" x14ac:dyDescent="0.25">
      <c r="A4" s="60"/>
      <c r="B4" s="35" t="s">
        <v>77</v>
      </c>
      <c r="C4" s="35" t="s">
        <v>34</v>
      </c>
      <c r="D4" s="35" t="s">
        <v>111</v>
      </c>
      <c r="E4" s="35" t="s">
        <v>37</v>
      </c>
      <c r="F4" s="35" t="s">
        <v>16</v>
      </c>
      <c r="G4" s="35" t="s">
        <v>78</v>
      </c>
      <c r="H4" s="35" t="s">
        <v>81</v>
      </c>
      <c r="I4" s="35" t="s">
        <v>111</v>
      </c>
      <c r="J4" s="36" t="s">
        <v>113</v>
      </c>
      <c r="K4" s="92"/>
      <c r="L4" s="37"/>
      <c r="M4" s="35"/>
      <c r="N4" s="35"/>
      <c r="O4" s="35"/>
      <c r="P4" s="35"/>
      <c r="Q4" s="35"/>
      <c r="R4" s="35"/>
      <c r="S4" s="35"/>
    </row>
    <row r="5" spans="1:19" x14ac:dyDescent="0.25">
      <c r="A5" s="49" t="s">
        <v>0</v>
      </c>
      <c r="B5" s="92"/>
      <c r="C5" s="92"/>
      <c r="D5" s="92"/>
      <c r="E5" s="92"/>
      <c r="F5" s="92" t="s">
        <v>112</v>
      </c>
      <c r="G5" s="35" t="s">
        <v>23</v>
      </c>
      <c r="H5" s="35" t="s">
        <v>82</v>
      </c>
      <c r="I5" s="35"/>
      <c r="J5" s="121" t="s">
        <v>147</v>
      </c>
      <c r="K5" s="92"/>
      <c r="L5" s="35"/>
      <c r="M5" s="92"/>
      <c r="N5" s="92"/>
      <c r="O5" s="92"/>
      <c r="P5" s="92"/>
      <c r="Q5" s="35"/>
      <c r="R5" s="35"/>
      <c r="S5" s="35"/>
    </row>
    <row r="6" spans="1:19" x14ac:dyDescent="0.25">
      <c r="A6" s="60"/>
      <c r="B6" s="92"/>
      <c r="C6" s="92"/>
      <c r="D6" s="92"/>
      <c r="E6" s="92"/>
      <c r="F6" s="92"/>
      <c r="G6" s="92" t="s">
        <v>114</v>
      </c>
      <c r="H6" s="92"/>
      <c r="I6" s="92"/>
      <c r="J6" s="36" t="s">
        <v>112</v>
      </c>
      <c r="K6" s="92"/>
      <c r="L6" s="118"/>
      <c r="M6" s="92"/>
      <c r="N6" s="92"/>
      <c r="O6" s="92"/>
      <c r="P6" s="92"/>
      <c r="Q6" s="92"/>
      <c r="R6" s="92"/>
      <c r="S6" s="35"/>
    </row>
    <row r="7" spans="1:19" x14ac:dyDescent="0.25">
      <c r="A7" s="27" t="s">
        <v>1</v>
      </c>
      <c r="B7" s="79">
        <f>'TL Sport-AL Sport,Kommersiell'!F14</f>
        <v>18902872.800000001</v>
      </c>
      <c r="C7" s="79">
        <f>'TL kommersiell'!W7</f>
        <v>2151809.0235895021</v>
      </c>
      <c r="D7" s="79">
        <f>(B7+C7)*0.25</f>
        <v>5263670.4558973759</v>
      </c>
      <c r="E7" s="79">
        <f>Utvikling!D9</f>
        <v>1340505.1044083522</v>
      </c>
      <c r="F7" s="79">
        <f>SUM(B7+C7+D7+E7)</f>
        <v>27658857.383895233</v>
      </c>
      <c r="G7" s="94">
        <f>SUM((F7-D7)/($F$24-$D$24))*100</f>
        <v>12.230017211822727</v>
      </c>
      <c r="H7" s="79">
        <f>SUM($H$24*G7/100)</f>
        <v>4259714.9948778562</v>
      </c>
      <c r="I7" s="79">
        <f>H7*0.25</f>
        <v>1064928.7487194641</v>
      </c>
      <c r="J7" s="122">
        <f>F7-H7-I7</f>
        <v>22334213.640297912</v>
      </c>
      <c r="K7" s="79"/>
      <c r="L7" s="23"/>
      <c r="M7" s="79"/>
      <c r="N7" s="79"/>
      <c r="O7" s="79"/>
      <c r="P7" s="79"/>
      <c r="Q7" s="94"/>
      <c r="R7" s="79"/>
      <c r="S7" s="79"/>
    </row>
    <row r="8" spans="1:19" x14ac:dyDescent="0.25">
      <c r="A8" s="27" t="s">
        <v>3</v>
      </c>
      <c r="B8" s="79">
        <f>'TL Sport-AL Sport,Kommersiell'!F15</f>
        <v>16022435.039999999</v>
      </c>
      <c r="C8" s="79">
        <f>'TL kommersiell'!W8</f>
        <v>3493726.602526552</v>
      </c>
      <c r="D8" s="79">
        <f t="shared" ref="D8:D22" si="0">(B8+C8)*0.25</f>
        <v>4879040.410631638</v>
      </c>
      <c r="E8" s="79">
        <f>Utvikling!D10</f>
        <v>1340505.1044083522</v>
      </c>
      <c r="F8" s="79">
        <f t="shared" ref="F8:F22" si="1">SUM(B8+C8+D8+E8)</f>
        <v>25735707.157566544</v>
      </c>
      <c r="G8" s="94">
        <f t="shared" ref="G8:G22" si="2">SUM((F8-D8)/($F$24-$D$24))*100</f>
        <v>11.389830954140139</v>
      </c>
      <c r="H8" s="79">
        <f t="shared" ref="H8:H22" si="3">SUM($H$24*G8/100)</f>
        <v>3967078.1213270104</v>
      </c>
      <c r="I8" s="79">
        <f t="shared" ref="I8:I22" si="4">H8*0.25</f>
        <v>991769.53033175261</v>
      </c>
      <c r="J8" s="122">
        <f t="shared" ref="J8:J22" si="5">F8-H8-I8</f>
        <v>20776859.505907781</v>
      </c>
      <c r="K8" s="79"/>
      <c r="L8" s="23"/>
      <c r="M8" s="79"/>
      <c r="N8" s="79"/>
      <c r="O8" s="79"/>
      <c r="P8" s="79"/>
      <c r="Q8" s="94"/>
      <c r="R8" s="79"/>
      <c r="S8" s="79"/>
    </row>
    <row r="9" spans="1:19" x14ac:dyDescent="0.25">
      <c r="A9" s="27" t="s">
        <v>101</v>
      </c>
      <c r="B9" s="79">
        <f>'TL Sport-AL Sport,Kommersiell'!F16</f>
        <v>13141997.279999999</v>
      </c>
      <c r="C9" s="79">
        <f>'TL kommersiell'!W9</f>
        <v>881509.06081294909</v>
      </c>
      <c r="D9" s="79">
        <f t="shared" si="0"/>
        <v>3505876.5852032369</v>
      </c>
      <c r="E9" s="79">
        <f>Utvikling!D11</f>
        <v>1340505.1044083522</v>
      </c>
      <c r="F9" s="79">
        <f t="shared" si="1"/>
        <v>18869888.030424539</v>
      </c>
      <c r="G9" s="94">
        <f t="shared" si="2"/>
        <v>8.3902905129489103</v>
      </c>
      <c r="H9" s="79">
        <f t="shared" si="3"/>
        <v>2922338.1856601052</v>
      </c>
      <c r="I9" s="79">
        <f t="shared" si="4"/>
        <v>730584.5464150263</v>
      </c>
      <c r="J9" s="122">
        <f t="shared" si="5"/>
        <v>15216965.298349407</v>
      </c>
      <c r="K9" s="79"/>
      <c r="L9" s="23"/>
      <c r="M9" s="79"/>
      <c r="N9" s="79"/>
      <c r="O9" s="79"/>
      <c r="P9" s="79"/>
      <c r="Q9" s="94"/>
      <c r="R9" s="79"/>
      <c r="S9" s="79"/>
    </row>
    <row r="10" spans="1:19" x14ac:dyDescent="0.25">
      <c r="A10" s="27" t="s">
        <v>2</v>
      </c>
      <c r="B10" s="79">
        <f>'TL Sport-AL Sport,Kommersiell'!F17</f>
        <v>9541450.0800000001</v>
      </c>
      <c r="C10" s="79">
        <f>'TL kommersiell'!W10</f>
        <v>1617735.9874201892</v>
      </c>
      <c r="D10" s="79">
        <f t="shared" si="0"/>
        <v>2789796.5168550471</v>
      </c>
      <c r="E10" s="79">
        <f>Utvikling!D12</f>
        <v>1340505.1044083522</v>
      </c>
      <c r="F10" s="79">
        <f t="shared" si="1"/>
        <v>15289487.688683586</v>
      </c>
      <c r="G10" s="94">
        <f t="shared" si="2"/>
        <v>6.8260844915215184</v>
      </c>
      <c r="H10" s="79">
        <f t="shared" si="3"/>
        <v>2377525.2283969452</v>
      </c>
      <c r="I10" s="79">
        <f t="shared" si="4"/>
        <v>594381.30709923629</v>
      </c>
      <c r="J10" s="122">
        <f t="shared" si="5"/>
        <v>12317581.153187405</v>
      </c>
      <c r="K10" s="79"/>
      <c r="L10" s="23"/>
      <c r="M10" s="79"/>
      <c r="N10" s="79"/>
      <c r="O10" s="79"/>
      <c r="P10" s="79"/>
      <c r="Q10" s="94"/>
      <c r="R10" s="79"/>
      <c r="S10" s="79"/>
    </row>
    <row r="11" spans="1:19" x14ac:dyDescent="0.25">
      <c r="A11" s="27" t="s">
        <v>123</v>
      </c>
      <c r="B11" s="79">
        <f>'TL Sport-AL Sport,Kommersiell'!F18</f>
        <v>8821340.6400000006</v>
      </c>
      <c r="C11" s="79">
        <f>'TL kommersiell'!W11</f>
        <v>979435.67906657944</v>
      </c>
      <c r="D11" s="79">
        <f t="shared" si="0"/>
        <v>2450194.0797666451</v>
      </c>
      <c r="E11" s="79">
        <f>Utvikling!D13</f>
        <v>1056936.7169373545</v>
      </c>
      <c r="F11" s="79">
        <f t="shared" si="1"/>
        <v>13307907.11577058</v>
      </c>
      <c r="G11" s="94">
        <f t="shared" si="2"/>
        <v>5.92939981873291</v>
      </c>
      <c r="H11" s="79">
        <f t="shared" si="3"/>
        <v>2065209.9568646727</v>
      </c>
      <c r="I11" s="79">
        <f t="shared" si="4"/>
        <v>516302.48921616818</v>
      </c>
      <c r="J11" s="122">
        <f t="shared" si="5"/>
        <v>10726394.669689741</v>
      </c>
      <c r="K11" s="79"/>
      <c r="L11" s="23"/>
      <c r="M11" s="79"/>
      <c r="N11" s="79"/>
      <c r="O11" s="79"/>
      <c r="P11" s="79"/>
      <c r="Q11" s="94"/>
      <c r="R11" s="79"/>
      <c r="S11" s="79"/>
    </row>
    <row r="12" spans="1:19" x14ac:dyDescent="0.25">
      <c r="A12" s="27" t="s">
        <v>8</v>
      </c>
      <c r="B12" s="79">
        <f>'TL Sport-AL Sport,Kommersiell'!F19</f>
        <v>8461285.9199999999</v>
      </c>
      <c r="C12" s="79">
        <f>'TL kommersiell'!W12</f>
        <v>2224603.0149451094</v>
      </c>
      <c r="D12" s="79">
        <f t="shared" si="0"/>
        <v>2671472.2337362776</v>
      </c>
      <c r="E12" s="79">
        <f>Utvikling!D14</f>
        <v>1340505.1044083522</v>
      </c>
      <c r="F12" s="79">
        <f t="shared" si="1"/>
        <v>14697866.273089739</v>
      </c>
      <c r="G12" s="94">
        <f t="shared" si="2"/>
        <v>6.567616808483784</v>
      </c>
      <c r="H12" s="79">
        <f t="shared" si="3"/>
        <v>2287500.9343949021</v>
      </c>
      <c r="I12" s="79">
        <f t="shared" si="4"/>
        <v>571875.23359872552</v>
      </c>
      <c r="J12" s="122">
        <f t="shared" si="5"/>
        <v>11838490.105096111</v>
      </c>
      <c r="K12" s="79"/>
      <c r="L12" s="23"/>
      <c r="M12" s="79"/>
      <c r="N12" s="79"/>
      <c r="O12" s="79"/>
      <c r="P12" s="79"/>
      <c r="Q12" s="94"/>
      <c r="R12" s="79"/>
      <c r="S12" s="79"/>
    </row>
    <row r="13" spans="1:19" x14ac:dyDescent="0.25">
      <c r="A13" s="27" t="s">
        <v>9</v>
      </c>
      <c r="B13" s="79">
        <f>'TL Sport-AL Sport,Kommersiell'!F20</f>
        <v>8101231.2000000002</v>
      </c>
      <c r="C13" s="79">
        <f>'TL kommersiell'!W13</f>
        <v>1158921.94328418</v>
      </c>
      <c r="D13" s="79">
        <f t="shared" si="0"/>
        <v>2315038.2858210448</v>
      </c>
      <c r="E13" s="79">
        <f>Utvikling!D15</f>
        <v>1340505.1044083522</v>
      </c>
      <c r="F13" s="79">
        <f t="shared" si="1"/>
        <v>12915696.533513576</v>
      </c>
      <c r="G13" s="94">
        <f t="shared" si="2"/>
        <v>5.7890221342091133</v>
      </c>
      <c r="H13" s="79">
        <f t="shared" si="3"/>
        <v>2016316.409345034</v>
      </c>
      <c r="I13" s="79">
        <f t="shared" si="4"/>
        <v>504079.10233625851</v>
      </c>
      <c r="J13" s="122">
        <f t="shared" si="5"/>
        <v>10395301.021832284</v>
      </c>
      <c r="K13" s="79"/>
      <c r="L13" s="23"/>
      <c r="M13" s="79"/>
      <c r="N13" s="79"/>
      <c r="O13" s="79"/>
      <c r="P13" s="79"/>
      <c r="Q13" s="94"/>
      <c r="R13" s="79"/>
      <c r="S13" s="79"/>
    </row>
    <row r="14" spans="1:19" x14ac:dyDescent="0.25">
      <c r="A14" s="27" t="s">
        <v>124</v>
      </c>
      <c r="B14" s="79">
        <f>'TL Sport-AL Sport,Kommersiell'!F21</f>
        <v>7741176.4800000004</v>
      </c>
      <c r="C14" s="79">
        <f>'TL kommersiell'!W14</f>
        <v>188443.90137099527</v>
      </c>
      <c r="D14" s="79">
        <f t="shared" si="0"/>
        <v>1982405.095342749</v>
      </c>
      <c r="E14" s="79">
        <f>Utvikling!D16</f>
        <v>1340505.1044083522</v>
      </c>
      <c r="F14" s="79">
        <f t="shared" si="1"/>
        <v>11252530.581122097</v>
      </c>
      <c r="G14" s="94">
        <f t="shared" si="2"/>
        <v>5.0624178584149737</v>
      </c>
      <c r="H14" s="79">
        <f t="shared" si="3"/>
        <v>1763240.1400859354</v>
      </c>
      <c r="I14" s="79">
        <f t="shared" si="4"/>
        <v>440810.03502148384</v>
      </c>
      <c r="J14" s="122">
        <f t="shared" si="5"/>
        <v>9048480.4060146771</v>
      </c>
      <c r="K14" s="79"/>
      <c r="L14" s="23"/>
      <c r="M14" s="79"/>
      <c r="N14" s="79"/>
      <c r="O14" s="79"/>
      <c r="P14" s="79"/>
      <c r="Q14" s="94"/>
      <c r="R14" s="79"/>
      <c r="S14" s="79"/>
    </row>
    <row r="15" spans="1:19" x14ac:dyDescent="0.25">
      <c r="A15" s="27" t="s">
        <v>13</v>
      </c>
      <c r="B15" s="79">
        <f>'TL Sport-AL Sport,Kommersiell'!F22</f>
        <v>7381121.7599999998</v>
      </c>
      <c r="C15" s="79">
        <f>'TL kommersiell'!W15</f>
        <v>113594.98418924818</v>
      </c>
      <c r="D15" s="79">
        <f t="shared" si="0"/>
        <v>1873679.1860473119</v>
      </c>
      <c r="E15" s="79">
        <f>Utvikling!D17</f>
        <v>1340505.1044083522</v>
      </c>
      <c r="F15" s="79">
        <f t="shared" si="1"/>
        <v>10708901.034644911</v>
      </c>
      <c r="G15" s="94">
        <f t="shared" si="2"/>
        <v>4.8249168728095544</v>
      </c>
      <c r="H15" s="79">
        <f t="shared" si="3"/>
        <v>1680518.546799568</v>
      </c>
      <c r="I15" s="79">
        <f t="shared" si="4"/>
        <v>420129.636699892</v>
      </c>
      <c r="J15" s="122">
        <f t="shared" si="5"/>
        <v>8608252.85114545</v>
      </c>
      <c r="K15" s="79"/>
      <c r="L15" s="23"/>
      <c r="M15" s="79"/>
      <c r="N15" s="79"/>
      <c r="O15" s="79"/>
      <c r="P15" s="79"/>
      <c r="Q15" s="94"/>
      <c r="R15" s="79"/>
      <c r="S15" s="79"/>
    </row>
    <row r="16" spans="1:19" x14ac:dyDescent="0.25">
      <c r="A16" s="27" t="s">
        <v>5</v>
      </c>
      <c r="B16" s="79">
        <f>'TL Sport-AL Sport,Kommersiell'!F23</f>
        <v>7381121.7599999998</v>
      </c>
      <c r="C16" s="79">
        <f>'TL kommersiell'!W16</f>
        <v>1752560.3935456411</v>
      </c>
      <c r="D16" s="79">
        <f t="shared" si="0"/>
        <v>2283420.5383864101</v>
      </c>
      <c r="E16" s="79">
        <f>Utvikling!D18</f>
        <v>1340505.1044083522</v>
      </c>
      <c r="F16" s="79">
        <f t="shared" si="1"/>
        <v>12757607.796340402</v>
      </c>
      <c r="G16" s="94">
        <f t="shared" si="2"/>
        <v>5.7199562949164351</v>
      </c>
      <c r="H16" s="79">
        <f t="shared" si="3"/>
        <v>1992260.7775193944</v>
      </c>
      <c r="I16" s="79">
        <f t="shared" si="4"/>
        <v>498065.1943798486</v>
      </c>
      <c r="J16" s="122">
        <f t="shared" si="5"/>
        <v>10267281.824441159</v>
      </c>
      <c r="K16" s="79"/>
      <c r="L16" s="23"/>
      <c r="M16" s="79"/>
      <c r="N16" s="79"/>
      <c r="O16" s="79"/>
      <c r="P16" s="79"/>
      <c r="Q16" s="94"/>
      <c r="R16" s="79"/>
      <c r="S16" s="79"/>
    </row>
    <row r="17" spans="1:19" x14ac:dyDescent="0.25">
      <c r="A17" s="27" t="s">
        <v>7</v>
      </c>
      <c r="B17" s="79">
        <f>'TL Sport-AL Sport,Kommersiell'!F24</f>
        <v>7021067.04</v>
      </c>
      <c r="C17" s="79">
        <f>'TL kommersiell'!W17</f>
        <v>635723.61750286142</v>
      </c>
      <c r="D17" s="79">
        <f t="shared" si="0"/>
        <v>1914197.6643757154</v>
      </c>
      <c r="E17" s="79">
        <f>Utvikling!D19</f>
        <v>631584.13573085831</v>
      </c>
      <c r="F17" s="79">
        <f t="shared" si="1"/>
        <v>10202572.457609436</v>
      </c>
      <c r="G17" s="94">
        <f t="shared" si="2"/>
        <v>4.5262835583908343</v>
      </c>
      <c r="H17" s="79">
        <f t="shared" si="3"/>
        <v>1576504.5633875274</v>
      </c>
      <c r="I17" s="79">
        <f t="shared" si="4"/>
        <v>394126.14084688184</v>
      </c>
      <c r="J17" s="122">
        <f t="shared" si="5"/>
        <v>8231941.7533750255</v>
      </c>
      <c r="K17" s="79"/>
      <c r="L17" s="23"/>
      <c r="M17" s="79"/>
      <c r="N17" s="79"/>
      <c r="O17" s="79"/>
      <c r="P17" s="79"/>
      <c r="Q17" s="94"/>
      <c r="R17" s="79"/>
      <c r="S17" s="79"/>
    </row>
    <row r="18" spans="1:19" x14ac:dyDescent="0.25">
      <c r="A18" s="27" t="s">
        <v>94</v>
      </c>
      <c r="B18" s="79">
        <f>'TL Sport-AL Sport,Kommersiell'!F25</f>
        <v>7021067.04</v>
      </c>
      <c r="C18" s="79">
        <f>'TL kommersiell'!W18</f>
        <v>468963.72004674718</v>
      </c>
      <c r="D18" s="79">
        <f t="shared" si="0"/>
        <v>1872507.6900116869</v>
      </c>
      <c r="E18" s="79">
        <f>Utvikling!D20</f>
        <v>1211610.3828306261</v>
      </c>
      <c r="F18" s="79">
        <f t="shared" si="1"/>
        <v>10574148.83288906</v>
      </c>
      <c r="G18" s="94">
        <f t="shared" si="2"/>
        <v>4.7519684158318007</v>
      </c>
      <c r="H18" s="79">
        <f t="shared" si="3"/>
        <v>1655110.5992342161</v>
      </c>
      <c r="I18" s="79">
        <f t="shared" si="4"/>
        <v>413777.64980855404</v>
      </c>
      <c r="J18" s="122">
        <f t="shared" si="5"/>
        <v>8505260.5838462897</v>
      </c>
      <c r="K18" s="79"/>
      <c r="L18" s="23"/>
      <c r="M18" s="79"/>
      <c r="N18" s="79"/>
      <c r="O18" s="79"/>
      <c r="P18" s="79"/>
      <c r="Q18" s="94"/>
      <c r="R18" s="79"/>
      <c r="S18" s="79"/>
    </row>
    <row r="19" spans="1:19" x14ac:dyDescent="0.25">
      <c r="A19" s="27" t="s">
        <v>95</v>
      </c>
      <c r="B19" s="79">
        <f>'TL Sport-AL Sport,Kommersiell'!F26</f>
        <v>6661012.3200000003</v>
      </c>
      <c r="C19" s="79">
        <f>'TL kommersiell'!W19</f>
        <v>220013.27266851199</v>
      </c>
      <c r="D19" s="79">
        <f t="shared" si="0"/>
        <v>1720256.398167128</v>
      </c>
      <c r="E19" s="79">
        <f>Utvikling!D21</f>
        <v>1340505.1044083522</v>
      </c>
      <c r="F19" s="79">
        <f t="shared" si="1"/>
        <v>9941787.0952439923</v>
      </c>
      <c r="G19" s="94">
        <f t="shared" si="2"/>
        <v>4.4897799806740943</v>
      </c>
      <c r="H19" s="79">
        <f t="shared" si="3"/>
        <v>1563790.367268787</v>
      </c>
      <c r="I19" s="79">
        <f t="shared" si="4"/>
        <v>390947.59181719675</v>
      </c>
      <c r="J19" s="122">
        <f t="shared" si="5"/>
        <v>7987049.1361580091</v>
      </c>
      <c r="K19" s="79"/>
      <c r="L19" s="23"/>
      <c r="M19" s="79"/>
      <c r="N19" s="79"/>
      <c r="O19" s="79"/>
      <c r="P19" s="79"/>
      <c r="Q19" s="94"/>
      <c r="R19" s="79"/>
      <c r="S19" s="79"/>
    </row>
    <row r="20" spans="1:19" x14ac:dyDescent="0.25">
      <c r="A20" s="27" t="s">
        <v>6</v>
      </c>
      <c r="B20" s="79">
        <f>'TL Sport-AL Sport,Kommersiell'!F27</f>
        <v>5940902.8799999999</v>
      </c>
      <c r="C20" s="79">
        <f>'TL kommersiell'!W20</f>
        <v>2657669.1399486698</v>
      </c>
      <c r="D20" s="79">
        <f t="shared" si="0"/>
        <v>2149643.0049871672</v>
      </c>
      <c r="E20" s="79">
        <f>Utvikling!D22</f>
        <v>1340505.1044083522</v>
      </c>
      <c r="F20" s="79">
        <f t="shared" si="1"/>
        <v>12088720.129344188</v>
      </c>
      <c r="G20" s="94">
        <f t="shared" si="2"/>
        <v>5.4277325164254382</v>
      </c>
      <c r="H20" s="79">
        <f t="shared" si="3"/>
        <v>1890479.2354709802</v>
      </c>
      <c r="I20" s="79">
        <f t="shared" si="4"/>
        <v>472619.80886774504</v>
      </c>
      <c r="J20" s="122">
        <f t="shared" si="5"/>
        <v>9725621.0850054622</v>
      </c>
      <c r="K20" s="79"/>
      <c r="L20" s="23"/>
      <c r="M20" s="79"/>
      <c r="N20" s="79"/>
      <c r="O20" s="79"/>
      <c r="P20" s="79"/>
      <c r="Q20" s="94"/>
      <c r="R20" s="79"/>
      <c r="S20" s="79"/>
    </row>
    <row r="21" spans="1:19" x14ac:dyDescent="0.25">
      <c r="A21" s="123" t="s">
        <v>10</v>
      </c>
      <c r="B21" s="79">
        <f>'TL Sport-AL Sport,Kommersiell'!F28</f>
        <v>5940902.8799999999</v>
      </c>
      <c r="C21" s="79">
        <f>'TL kommersiell'!W21</f>
        <v>173172.78810034585</v>
      </c>
      <c r="D21" s="79">
        <f t="shared" si="0"/>
        <v>1528518.9170250865</v>
      </c>
      <c r="E21" s="79">
        <f>Utvikling!D23</f>
        <v>1340505.1044083522</v>
      </c>
      <c r="F21" s="79">
        <f t="shared" si="1"/>
        <v>8983099.689533785</v>
      </c>
      <c r="G21" s="94">
        <f t="shared" si="2"/>
        <v>4.0709484340461701</v>
      </c>
      <c r="H21" s="79">
        <f t="shared" si="3"/>
        <v>1417911.3395782812</v>
      </c>
      <c r="I21" s="79">
        <f t="shared" si="4"/>
        <v>354477.83489457029</v>
      </c>
      <c r="J21" s="122">
        <f t="shared" si="5"/>
        <v>7210710.5150609333</v>
      </c>
      <c r="K21" s="79"/>
      <c r="L21" s="23"/>
      <c r="M21" s="79"/>
      <c r="N21" s="79"/>
      <c r="O21" s="79"/>
      <c r="P21" s="79"/>
      <c r="Q21" s="94"/>
      <c r="R21" s="79"/>
      <c r="S21" s="79"/>
    </row>
    <row r="22" spans="1:19" x14ac:dyDescent="0.25">
      <c r="A22" s="123" t="s">
        <v>11</v>
      </c>
      <c r="B22" s="79">
        <f>'TL Sport-AL Sport,Kommersiell'!F29</f>
        <v>5940902.8799999999</v>
      </c>
      <c r="C22" s="79">
        <f>'TL kommersiell'!W22</f>
        <v>377484.870981919</v>
      </c>
      <c r="D22" s="79">
        <f t="shared" si="0"/>
        <v>1579596.9377454796</v>
      </c>
      <c r="E22" s="79">
        <f>Utvikling!D24</f>
        <v>1013112.5116009277</v>
      </c>
      <c r="F22" s="79">
        <f t="shared" si="1"/>
        <v>8911097.2003283259</v>
      </c>
      <c r="G22" s="94">
        <f t="shared" si="2"/>
        <v>4.0037341366316106</v>
      </c>
      <c r="H22" s="79">
        <f t="shared" si="3"/>
        <v>1394500.5997887901</v>
      </c>
      <c r="I22" s="79">
        <f t="shared" si="4"/>
        <v>348625.14994719753</v>
      </c>
      <c r="J22" s="122">
        <f t="shared" si="5"/>
        <v>7167971.4505923381</v>
      </c>
      <c r="K22" s="79"/>
      <c r="L22" s="23"/>
      <c r="M22" s="79"/>
      <c r="N22" s="79"/>
      <c r="O22" s="79"/>
      <c r="P22" s="79"/>
      <c r="Q22" s="94"/>
      <c r="R22" s="79"/>
      <c r="S22" s="79"/>
    </row>
    <row r="23" spans="1:19" x14ac:dyDescent="0.25">
      <c r="A23" s="123"/>
      <c r="B23" s="79"/>
      <c r="C23" s="79"/>
      <c r="D23" s="79"/>
      <c r="E23" s="79"/>
      <c r="F23" s="79"/>
      <c r="G23" s="94"/>
      <c r="H23" s="79"/>
      <c r="I23" s="79"/>
      <c r="J23" s="122"/>
      <c r="K23" s="79"/>
      <c r="L23" s="92"/>
      <c r="M23" s="79"/>
      <c r="N23" s="79"/>
      <c r="O23" s="79"/>
      <c r="P23" s="79"/>
      <c r="Q23" s="94"/>
      <c r="R23" s="79"/>
      <c r="S23" s="79"/>
    </row>
    <row r="24" spans="1:19" x14ac:dyDescent="0.25">
      <c r="A24" s="124" t="s">
        <v>14</v>
      </c>
      <c r="B24" s="96">
        <f>SUM(B7:B22)</f>
        <v>144021888.00000003</v>
      </c>
      <c r="C24" s="96">
        <f>SUM(C7:C22)</f>
        <v>19095368.000000004</v>
      </c>
      <c r="D24" s="96">
        <f>SUM(D7:D22)</f>
        <v>40779314</v>
      </c>
      <c r="E24" s="96">
        <f>SUM(E7:E22)</f>
        <v>19999304.999999993</v>
      </c>
      <c r="F24" s="96">
        <f>SUM(F7:F22)</f>
        <v>223895874.99999997</v>
      </c>
      <c r="G24" s="97">
        <f t="shared" ref="G24" si="6">SUM(F24/$F$24*100)</f>
        <v>100</v>
      </c>
      <c r="H24" s="96">
        <f>SUM(43000000*0.81)</f>
        <v>34830000</v>
      </c>
      <c r="I24" s="96">
        <f>SUM(I7:I22)</f>
        <v>8707500.0000000019</v>
      </c>
      <c r="J24" s="125">
        <f>F24-H24-I24</f>
        <v>180358374.99999997</v>
      </c>
      <c r="K24" s="79"/>
      <c r="L24" s="79"/>
      <c r="M24" s="79"/>
      <c r="N24" s="79"/>
      <c r="O24" s="79"/>
      <c r="P24" s="79"/>
      <c r="Q24" s="94"/>
      <c r="R24" s="79"/>
      <c r="S24" s="79"/>
    </row>
    <row r="25" spans="1:19" x14ac:dyDescent="0.25">
      <c r="A25" s="60"/>
      <c r="B25" s="79"/>
      <c r="C25" s="79"/>
      <c r="D25" s="79"/>
      <c r="E25" s="79"/>
      <c r="F25" s="79"/>
      <c r="G25" s="79"/>
      <c r="H25" s="79"/>
      <c r="I25" s="79"/>
      <c r="J25" s="126"/>
      <c r="K25" s="79"/>
      <c r="L25" s="79"/>
      <c r="M25" s="65"/>
      <c r="N25" s="95"/>
      <c r="O25" s="39"/>
      <c r="P25" s="39"/>
      <c r="Q25" s="38"/>
    </row>
    <row r="26" spans="1:19" x14ac:dyDescent="0.25">
      <c r="A26" s="49" t="s">
        <v>129</v>
      </c>
      <c r="B26" s="93" t="s">
        <v>80</v>
      </c>
      <c r="C26" s="79"/>
      <c r="D26" s="79"/>
      <c r="E26" s="79"/>
      <c r="F26" s="79"/>
      <c r="G26" s="79"/>
      <c r="H26" s="79"/>
      <c r="I26" s="79"/>
      <c r="J26" s="126"/>
      <c r="K26" s="79"/>
      <c r="L26" s="79"/>
      <c r="M26" s="65"/>
      <c r="N26" s="95"/>
      <c r="O26" s="39"/>
      <c r="P26" s="39"/>
      <c r="Q26" s="38"/>
    </row>
    <row r="27" spans="1:19" x14ac:dyDescent="0.25">
      <c r="A27" s="123"/>
      <c r="B27" s="79"/>
      <c r="C27" s="79"/>
      <c r="D27" s="79"/>
      <c r="E27" s="79"/>
      <c r="F27" s="79"/>
      <c r="G27" s="79"/>
      <c r="H27" s="79"/>
      <c r="I27" s="79"/>
      <c r="J27" s="126"/>
      <c r="K27" s="79"/>
      <c r="L27" s="79"/>
      <c r="M27" s="65"/>
      <c r="N27" s="95"/>
      <c r="O27" s="39"/>
      <c r="P27" s="39"/>
      <c r="Q27" s="38"/>
    </row>
    <row r="28" spans="1:19" x14ac:dyDescent="0.25">
      <c r="A28" s="123" t="s">
        <v>97</v>
      </c>
      <c r="B28" s="79">
        <f>'TL Sport-AL Sport,Kommersiell'!F35</f>
        <v>4361038.2700000005</v>
      </c>
      <c r="C28" s="79"/>
      <c r="D28" s="79">
        <f>B28*0.25</f>
        <v>1090259.5675000001</v>
      </c>
      <c r="E28" s="79">
        <f>Utvikling!D30</f>
        <v>372224.74584676424</v>
      </c>
      <c r="F28" s="79">
        <f t="shared" ref="F28:F43" si="7">SUM(B28+C28+D28+E28)</f>
        <v>5823522.5833467646</v>
      </c>
      <c r="G28" s="94">
        <f>SUM((F28-D28)/($F$45-$D$45)*100)</f>
        <v>10.783998439988135</v>
      </c>
      <c r="H28" s="79">
        <f>SUM($H$45*G28/100)</f>
        <v>881052.67254703061</v>
      </c>
      <c r="I28" s="79">
        <f>H28*0.25</f>
        <v>220263.16813675765</v>
      </c>
      <c r="J28" s="122">
        <f t="shared" ref="J28:J45" si="8">F28-H28-I28</f>
        <v>4722206.7426629765</v>
      </c>
      <c r="K28" s="79"/>
      <c r="L28" s="79"/>
      <c r="M28" s="65"/>
      <c r="N28" s="95"/>
      <c r="O28" s="39"/>
      <c r="P28" s="39"/>
      <c r="Q28" s="38"/>
    </row>
    <row r="29" spans="1:19" x14ac:dyDescent="0.25">
      <c r="A29" s="123" t="s">
        <v>4</v>
      </c>
      <c r="B29" s="79">
        <f>'TL Sport-AL Sport,Kommersiell'!F36</f>
        <v>4753041.71</v>
      </c>
      <c r="C29" s="79"/>
      <c r="D29" s="79">
        <f t="shared" ref="D29:D43" si="9">B29*0.25</f>
        <v>1188260.4275</v>
      </c>
      <c r="E29" s="79">
        <f>Utvikling!D31</f>
        <v>372224.74584676424</v>
      </c>
      <c r="F29" s="79">
        <f t="shared" si="7"/>
        <v>6313526.8833467644</v>
      </c>
      <c r="G29" s="94">
        <f t="shared" ref="G29:G43" si="10">SUM((F29-D29)/($F$45-$D$45)*100)</f>
        <v>11.677116880961506</v>
      </c>
      <c r="H29" s="79">
        <f t="shared" ref="H29:H43" si="11">SUM($H$45*G29/100)</f>
        <v>954020.44917455513</v>
      </c>
      <c r="I29" s="79">
        <f t="shared" ref="I29:I43" si="12">H29*0.25</f>
        <v>238505.11229363878</v>
      </c>
      <c r="J29" s="122">
        <f t="shared" si="8"/>
        <v>5121001.3218785701</v>
      </c>
      <c r="K29" s="79"/>
      <c r="L29" s="79"/>
      <c r="M29" s="65"/>
      <c r="N29" s="95"/>
      <c r="O29" s="39"/>
      <c r="P29" s="39"/>
      <c r="Q29" s="38"/>
    </row>
    <row r="30" spans="1:19" x14ac:dyDescent="0.25">
      <c r="A30" s="27" t="s">
        <v>99</v>
      </c>
      <c r="B30" s="79">
        <f>'TL Sport-AL Sport,Kommersiell'!F37</f>
        <v>2989026.0700000003</v>
      </c>
      <c r="C30" s="79"/>
      <c r="D30" s="79">
        <f t="shared" si="9"/>
        <v>747256.51750000007</v>
      </c>
      <c r="E30" s="79">
        <f>Utvikling!D32</f>
        <v>372224.74584676424</v>
      </c>
      <c r="F30" s="79">
        <f t="shared" si="7"/>
        <v>4108507.3333467646</v>
      </c>
      <c r="G30" s="94">
        <f t="shared" si="10"/>
        <v>7.6580835320463931</v>
      </c>
      <c r="H30" s="79">
        <f t="shared" si="11"/>
        <v>625665.42456819036</v>
      </c>
      <c r="I30" s="79">
        <f t="shared" si="12"/>
        <v>156416.35614204759</v>
      </c>
      <c r="J30" s="122">
        <f t="shared" si="8"/>
        <v>3326425.5526365265</v>
      </c>
      <c r="K30" s="79"/>
      <c r="L30" s="79"/>
      <c r="M30" s="65"/>
      <c r="N30" s="95"/>
      <c r="O30" s="39"/>
      <c r="P30" s="39"/>
      <c r="Q30" s="38"/>
    </row>
    <row r="31" spans="1:19" x14ac:dyDescent="0.25">
      <c r="A31" s="27" t="s">
        <v>96</v>
      </c>
      <c r="B31" s="79">
        <f>'TL Sport-AL Sport,Kommersiell'!F38</f>
        <v>2254019.77</v>
      </c>
      <c r="C31" s="79"/>
      <c r="D31" s="79">
        <f t="shared" si="9"/>
        <v>563504.9425</v>
      </c>
      <c r="E31" s="79">
        <f>Utvikling!D33</f>
        <v>209376.41953880488</v>
      </c>
      <c r="F31" s="79">
        <f t="shared" si="7"/>
        <v>3026901.1320388047</v>
      </c>
      <c r="G31" s="94">
        <f t="shared" si="10"/>
        <v>5.6124623914031018</v>
      </c>
      <c r="H31" s="79">
        <f t="shared" si="11"/>
        <v>458538.1773776334</v>
      </c>
      <c r="I31" s="79">
        <f t="shared" si="12"/>
        <v>114634.54434440835</v>
      </c>
      <c r="J31" s="122">
        <f t="shared" si="8"/>
        <v>2453728.410316763</v>
      </c>
      <c r="K31" s="79"/>
      <c r="L31" s="79"/>
      <c r="M31" s="65"/>
      <c r="N31" s="95"/>
      <c r="O31" s="39"/>
      <c r="P31" s="39"/>
      <c r="Q31" s="38"/>
    </row>
    <row r="32" spans="1:19" x14ac:dyDescent="0.25">
      <c r="A32" s="27" t="s">
        <v>119</v>
      </c>
      <c r="B32" s="79">
        <f>'TL Sport-AL Sport,Kommersiell'!F39</f>
        <v>2058018.3399999999</v>
      </c>
      <c r="C32" s="79"/>
      <c r="D32" s="79">
        <f t="shared" si="9"/>
        <v>514504.58499999996</v>
      </c>
      <c r="E32" s="79">
        <f>Utvikling!D34</f>
        <v>221008.44284651623</v>
      </c>
      <c r="F32" s="79">
        <f t="shared" si="7"/>
        <v>2793531.367846516</v>
      </c>
      <c r="G32" s="94">
        <f t="shared" si="10"/>
        <v>5.1924055748909748</v>
      </c>
      <c r="H32" s="79">
        <f t="shared" si="11"/>
        <v>424219.53546859266</v>
      </c>
      <c r="I32" s="79">
        <f t="shared" si="12"/>
        <v>106054.88386714816</v>
      </c>
      <c r="J32" s="122">
        <f t="shared" si="8"/>
        <v>2263256.9485107749</v>
      </c>
      <c r="K32" s="79"/>
      <c r="L32" s="79"/>
      <c r="M32" s="65"/>
      <c r="N32" s="95"/>
      <c r="O32" s="39"/>
      <c r="P32" s="39"/>
      <c r="Q32" s="38"/>
    </row>
    <row r="33" spans="1:17" x14ac:dyDescent="0.25">
      <c r="A33" s="27" t="s">
        <v>12</v>
      </c>
      <c r="B33" s="79">
        <f>'TL Sport-AL Sport,Kommersiell'!F40</f>
        <v>2499021.91</v>
      </c>
      <c r="C33" s="79"/>
      <c r="D33" s="79">
        <f t="shared" si="9"/>
        <v>624755.47750000004</v>
      </c>
      <c r="E33" s="79">
        <f>Utvikling!D35</f>
        <v>372224.74584676424</v>
      </c>
      <c r="F33" s="79">
        <f t="shared" si="7"/>
        <v>3496002.1333467644</v>
      </c>
      <c r="G33" s="94">
        <f t="shared" si="10"/>
        <v>6.5416857997977518</v>
      </c>
      <c r="H33" s="79">
        <f t="shared" si="11"/>
        <v>534455.72984347632</v>
      </c>
      <c r="I33" s="79">
        <f t="shared" si="12"/>
        <v>133613.93246086908</v>
      </c>
      <c r="J33" s="122">
        <f t="shared" si="8"/>
        <v>2827932.4710424189</v>
      </c>
      <c r="K33" s="79"/>
      <c r="L33" s="79"/>
      <c r="M33" s="65"/>
      <c r="N33" s="95"/>
      <c r="O33" s="39"/>
      <c r="P33" s="39"/>
      <c r="Q33" s="38"/>
    </row>
    <row r="34" spans="1:17" x14ac:dyDescent="0.25">
      <c r="A34" s="27" t="s">
        <v>102</v>
      </c>
      <c r="B34" s="79">
        <f>'TL Sport-AL Sport,Kommersiell'!F41</f>
        <v>2401021.48</v>
      </c>
      <c r="C34" s="79"/>
      <c r="D34" s="79">
        <f t="shared" si="9"/>
        <v>600255.37</v>
      </c>
      <c r="E34" s="79">
        <f>Utvikling!D36</f>
        <v>261720.52442350608</v>
      </c>
      <c r="F34" s="79">
        <f t="shared" si="7"/>
        <v>3262997.3744235062</v>
      </c>
      <c r="G34" s="94">
        <f t="shared" si="10"/>
        <v>6.0666406083197453</v>
      </c>
      <c r="H34" s="79">
        <f t="shared" si="11"/>
        <v>495644.53769972315</v>
      </c>
      <c r="I34" s="79">
        <f t="shared" si="12"/>
        <v>123911.13442493079</v>
      </c>
      <c r="J34" s="122">
        <f t="shared" si="8"/>
        <v>2643441.7022988521</v>
      </c>
      <c r="K34" s="79"/>
      <c r="L34" s="79"/>
      <c r="M34" s="65"/>
      <c r="N34" s="95"/>
      <c r="O34" s="39"/>
      <c r="P34" s="39"/>
      <c r="Q34" s="38"/>
    </row>
    <row r="35" spans="1:17" x14ac:dyDescent="0.25">
      <c r="A35" s="27" t="s">
        <v>98</v>
      </c>
      <c r="B35" s="79">
        <f>'TL Sport-AL Sport,Kommersiell'!F42</f>
        <v>2205019.0499999998</v>
      </c>
      <c r="C35" s="79"/>
      <c r="D35" s="79">
        <f t="shared" si="9"/>
        <v>551254.76249999995</v>
      </c>
      <c r="E35" s="79">
        <f>Utvikling!D37</f>
        <v>290800.58269278449</v>
      </c>
      <c r="F35" s="79">
        <f t="shared" si="7"/>
        <v>3047074.3951927843</v>
      </c>
      <c r="G35" s="94">
        <f t="shared" si="10"/>
        <v>5.6863341283467133</v>
      </c>
      <c r="H35" s="79">
        <f t="shared" si="11"/>
        <v>464573.49828592653</v>
      </c>
      <c r="I35" s="79">
        <f t="shared" si="12"/>
        <v>116143.37457148163</v>
      </c>
      <c r="J35" s="122">
        <f t="shared" si="8"/>
        <v>2466357.5223353761</v>
      </c>
      <c r="K35" s="79"/>
      <c r="L35" s="79"/>
      <c r="M35" s="65"/>
      <c r="N35" s="95"/>
      <c r="O35" s="39"/>
      <c r="P35" s="39"/>
      <c r="Q35" s="38"/>
    </row>
    <row r="36" spans="1:17" x14ac:dyDescent="0.25">
      <c r="A36" s="27" t="s">
        <v>115</v>
      </c>
      <c r="B36" s="79">
        <f>'TL Sport-AL Sport,Kommersiell'!F43</f>
        <v>2205019.62</v>
      </c>
      <c r="C36" s="79"/>
      <c r="D36" s="79">
        <f t="shared" si="9"/>
        <v>551254.90500000003</v>
      </c>
      <c r="E36" s="79">
        <f>Utvikling!D38</f>
        <v>372224.74584676424</v>
      </c>
      <c r="F36" s="79">
        <f t="shared" si="7"/>
        <v>3128499.2708467646</v>
      </c>
      <c r="G36" s="94">
        <f t="shared" si="10"/>
        <v>5.8718476297873012</v>
      </c>
      <c r="H36" s="79">
        <f t="shared" si="11"/>
        <v>479729.95135362254</v>
      </c>
      <c r="I36" s="79">
        <f t="shared" si="12"/>
        <v>119932.48783840564</v>
      </c>
      <c r="J36" s="122">
        <f t="shared" si="8"/>
        <v>2528836.8316547363</v>
      </c>
      <c r="K36" s="79"/>
      <c r="L36" s="79"/>
      <c r="M36" s="65"/>
      <c r="N36" s="95"/>
      <c r="O36" s="39"/>
      <c r="P36" s="39"/>
      <c r="Q36" s="38"/>
    </row>
    <row r="37" spans="1:17" x14ac:dyDescent="0.25">
      <c r="A37" s="27" t="s">
        <v>100</v>
      </c>
      <c r="B37" s="79">
        <f>'TL Sport-AL Sport,Kommersiell'!F44</f>
        <v>2058018.19</v>
      </c>
      <c r="C37" s="79"/>
      <c r="D37" s="79">
        <f t="shared" si="9"/>
        <v>514504.54749999999</v>
      </c>
      <c r="E37" s="79">
        <f>Utvikling!D39</f>
        <v>271026.14306967519</v>
      </c>
      <c r="F37" s="79">
        <f t="shared" si="7"/>
        <v>2843548.880569675</v>
      </c>
      <c r="G37" s="94">
        <f t="shared" si="10"/>
        <v>5.3063627291358841</v>
      </c>
      <c r="H37" s="79">
        <f t="shared" si="11"/>
        <v>433529.83497040177</v>
      </c>
      <c r="I37" s="79">
        <f t="shared" si="12"/>
        <v>108382.45874260044</v>
      </c>
      <c r="J37" s="122">
        <f t="shared" si="8"/>
        <v>2301636.586856673</v>
      </c>
      <c r="K37" s="79"/>
      <c r="L37" s="79"/>
      <c r="M37" s="65"/>
      <c r="N37" s="95"/>
      <c r="O37" s="39"/>
      <c r="P37" s="39"/>
      <c r="Q37" s="38"/>
    </row>
    <row r="38" spans="1:17" x14ac:dyDescent="0.25">
      <c r="A38" s="27" t="s">
        <v>117</v>
      </c>
      <c r="B38" s="79">
        <f>'TL Sport-AL Sport,Kommersiell'!F45</f>
        <v>3136027.76</v>
      </c>
      <c r="C38" s="79"/>
      <c r="D38" s="79">
        <f t="shared" si="9"/>
        <v>784006.94</v>
      </c>
      <c r="E38" s="79">
        <f>Utvikling!D40</f>
        <v>372224.74584676424</v>
      </c>
      <c r="F38" s="79">
        <f t="shared" si="7"/>
        <v>4292259.4458467644</v>
      </c>
      <c r="G38" s="94">
        <f t="shared" si="10"/>
        <v>7.9930038587487582</v>
      </c>
      <c r="H38" s="79">
        <f t="shared" si="11"/>
        <v>653028.41525977349</v>
      </c>
      <c r="I38" s="79">
        <f t="shared" si="12"/>
        <v>163257.10381494337</v>
      </c>
      <c r="J38" s="122">
        <f t="shared" si="8"/>
        <v>3475973.9267720478</v>
      </c>
      <c r="K38" s="79"/>
      <c r="L38" s="79"/>
      <c r="M38" s="65"/>
      <c r="N38" s="95"/>
      <c r="O38" s="39"/>
      <c r="P38" s="39"/>
      <c r="Q38" s="38"/>
    </row>
    <row r="39" spans="1:17" x14ac:dyDescent="0.25">
      <c r="A39" s="27" t="s">
        <v>140</v>
      </c>
      <c r="B39" s="79">
        <f>'TL Sport-AL Sport,Kommersiell'!F46</f>
        <v>1617014.33</v>
      </c>
      <c r="C39" s="79"/>
      <c r="D39" s="79">
        <f t="shared" si="9"/>
        <v>404253.58250000002</v>
      </c>
      <c r="E39" s="79">
        <f>Utvikling!D41</f>
        <v>234966.87081576989</v>
      </c>
      <c r="F39" s="79">
        <f t="shared" si="7"/>
        <v>2256234.7833157699</v>
      </c>
      <c r="G39" s="94">
        <f t="shared" si="10"/>
        <v>4.2194491017338356</v>
      </c>
      <c r="H39" s="79">
        <f t="shared" si="11"/>
        <v>344728.9916116544</v>
      </c>
      <c r="I39" s="79">
        <f t="shared" si="12"/>
        <v>86182.247902913601</v>
      </c>
      <c r="J39" s="122">
        <f t="shared" si="8"/>
        <v>1825323.543801202</v>
      </c>
      <c r="K39" s="79"/>
      <c r="L39" s="79"/>
      <c r="M39" s="65"/>
      <c r="N39" s="95"/>
      <c r="O39" s="39"/>
      <c r="P39" s="39"/>
      <c r="Q39" s="38"/>
    </row>
    <row r="40" spans="1:17" x14ac:dyDescent="0.25">
      <c r="A40" s="123" t="s">
        <v>120</v>
      </c>
      <c r="B40" s="79">
        <f>'TL Sport-AL Sport,Kommersiell'!F47</f>
        <v>1764015.9</v>
      </c>
      <c r="C40" s="79"/>
      <c r="D40" s="79">
        <f t="shared" si="9"/>
        <v>441003.97499999998</v>
      </c>
      <c r="E40" s="79">
        <f>Utvikling!D42</f>
        <v>251251.70344656584</v>
      </c>
      <c r="F40" s="79">
        <f t="shared" si="7"/>
        <v>2456271.5784465657</v>
      </c>
      <c r="G40" s="94">
        <f t="shared" si="10"/>
        <v>4.5914715955919672</v>
      </c>
      <c r="H40" s="79">
        <f t="shared" si="11"/>
        <v>375123.22935986368</v>
      </c>
      <c r="I40" s="79">
        <f t="shared" si="12"/>
        <v>93780.807339965919</v>
      </c>
      <c r="J40" s="122">
        <f t="shared" si="8"/>
        <v>1987367.541746736</v>
      </c>
      <c r="K40" s="79"/>
      <c r="L40" s="79"/>
      <c r="M40" s="65"/>
      <c r="N40" s="95"/>
      <c r="O40" s="39"/>
      <c r="P40" s="39"/>
      <c r="Q40" s="38"/>
    </row>
    <row r="41" spans="1:17" x14ac:dyDescent="0.25">
      <c r="A41" s="123" t="s">
        <v>125</v>
      </c>
      <c r="B41" s="79">
        <f>'TL Sport-AL Sport,Kommersiell'!F48</f>
        <v>1568013.76</v>
      </c>
      <c r="C41" s="79"/>
      <c r="D41" s="79">
        <f t="shared" si="9"/>
        <v>392003.44</v>
      </c>
      <c r="E41" s="79">
        <f>Utvikling!D43</f>
        <v>29080.058269278452</v>
      </c>
      <c r="F41" s="79">
        <f t="shared" si="7"/>
        <v>1989097.2582692783</v>
      </c>
      <c r="G41" s="94">
        <f t="shared" si="10"/>
        <v>3.6387281220309382</v>
      </c>
      <c r="H41" s="79">
        <f t="shared" si="11"/>
        <v>297284.08756992762</v>
      </c>
      <c r="I41" s="79">
        <f t="shared" si="12"/>
        <v>74321.021892481906</v>
      </c>
      <c r="J41" s="122">
        <f t="shared" si="8"/>
        <v>1617492.1488068688</v>
      </c>
      <c r="K41" s="79"/>
      <c r="L41" s="79"/>
      <c r="M41" s="65"/>
      <c r="N41" s="95"/>
      <c r="O41" s="39"/>
      <c r="P41" s="39"/>
      <c r="Q41" s="38"/>
    </row>
    <row r="42" spans="1:17" x14ac:dyDescent="0.25">
      <c r="A42" s="123" t="s">
        <v>104</v>
      </c>
      <c r="B42" s="79">
        <f>'TL Sport-AL Sport,Kommersiell'!F49</f>
        <v>1617014.04</v>
      </c>
      <c r="C42" s="79"/>
      <c r="D42" s="79">
        <f t="shared" si="9"/>
        <v>404253.51</v>
      </c>
      <c r="E42" s="79">
        <f>Utvikling!D44</f>
        <v>336165.47359285894</v>
      </c>
      <c r="F42" s="79">
        <f t="shared" si="7"/>
        <v>2357433.023592859</v>
      </c>
      <c r="G42" s="94">
        <f t="shared" si="10"/>
        <v>4.4500136073325862</v>
      </c>
      <c r="H42" s="79">
        <f t="shared" si="11"/>
        <v>363566.11171907233</v>
      </c>
      <c r="I42" s="79">
        <f t="shared" si="12"/>
        <v>90891.527929768083</v>
      </c>
      <c r="J42" s="122">
        <f t="shared" si="8"/>
        <v>1902975.3839440187</v>
      </c>
      <c r="K42" s="79"/>
      <c r="L42" s="79"/>
      <c r="M42" s="65"/>
      <c r="N42" s="95"/>
      <c r="O42" s="39"/>
      <c r="P42" s="39"/>
      <c r="Q42" s="38"/>
    </row>
    <row r="43" spans="1:17" x14ac:dyDescent="0.25">
      <c r="A43" s="123" t="s">
        <v>103</v>
      </c>
      <c r="B43" s="79">
        <f>'TL Sport-AL Sport,Kommersiell'!F50</f>
        <v>1715015.05</v>
      </c>
      <c r="C43" s="79"/>
      <c r="D43" s="79">
        <f t="shared" si="9"/>
        <v>428753.76250000001</v>
      </c>
      <c r="E43" s="79">
        <f>Utvikling!D45</f>
        <v>352450.30622365489</v>
      </c>
      <c r="F43" s="79">
        <f t="shared" si="7"/>
        <v>2496219.1187236551</v>
      </c>
      <c r="G43" s="94">
        <f t="shared" si="10"/>
        <v>4.7103959998844083</v>
      </c>
      <c r="H43" s="79">
        <f t="shared" si="11"/>
        <v>384839.35319055617</v>
      </c>
      <c r="I43" s="79">
        <f t="shared" si="12"/>
        <v>96209.838297639042</v>
      </c>
      <c r="J43" s="122">
        <f t="shared" si="8"/>
        <v>2015169.9272354599</v>
      </c>
      <c r="K43" s="79"/>
      <c r="L43" s="79"/>
      <c r="M43" s="65"/>
      <c r="N43" s="95"/>
      <c r="O43" s="39"/>
      <c r="P43" s="39"/>
      <c r="Q43" s="38"/>
    </row>
    <row r="44" spans="1:17" x14ac:dyDescent="0.25">
      <c r="A44" s="123"/>
      <c r="B44" s="79"/>
      <c r="C44" s="79"/>
      <c r="D44" s="79"/>
      <c r="E44" s="79"/>
      <c r="F44" s="79"/>
      <c r="G44" s="94"/>
      <c r="H44" s="79"/>
      <c r="I44" s="79"/>
      <c r="J44" s="122"/>
      <c r="K44" s="79"/>
      <c r="L44" s="79"/>
      <c r="M44" s="65"/>
      <c r="N44" s="95"/>
      <c r="O44" s="39"/>
      <c r="P44" s="39"/>
      <c r="Q44" s="38"/>
    </row>
    <row r="45" spans="1:17" ht="15.75" thickBot="1" x14ac:dyDescent="0.3">
      <c r="A45" s="127" t="s">
        <v>14</v>
      </c>
      <c r="B45" s="128">
        <f>SUM(B28:B44)-1</f>
        <v>39200344.249999993</v>
      </c>
      <c r="C45" s="128"/>
      <c r="D45" s="128">
        <f t="shared" ref="D45" si="13">SUM(D28:D44)</f>
        <v>9800086.3124999981</v>
      </c>
      <c r="E45" s="128">
        <f>SUM(E28:E44)</f>
        <v>4691195</v>
      </c>
      <c r="F45" s="128">
        <f>SUM(F28:F43)</f>
        <v>53691626.5625</v>
      </c>
      <c r="G45" s="129">
        <f t="shared" ref="G45" si="14">SUM(F45/$F$45*100)</f>
        <v>100</v>
      </c>
      <c r="H45" s="128">
        <f>SUM(43000000*0.19)</f>
        <v>8170000</v>
      </c>
      <c r="I45" s="128">
        <f>SUM(I28:I43)</f>
        <v>2042500</v>
      </c>
      <c r="J45" s="130">
        <f t="shared" si="8"/>
        <v>43479126.5625</v>
      </c>
      <c r="K45" s="79"/>
      <c r="L45" s="79"/>
      <c r="M45" s="65"/>
      <c r="N45" s="95"/>
      <c r="O45" s="39"/>
      <c r="P45" s="39"/>
      <c r="Q45" s="38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M55" sqref="M55"/>
    </sheetView>
  </sheetViews>
  <sheetFormatPr baseColWidth="10" defaultRowHeight="15" x14ac:dyDescent="0.25"/>
  <cols>
    <col min="1" max="1" width="19.5703125" customWidth="1"/>
    <col min="2" max="2" width="21.42578125" customWidth="1"/>
    <col min="3" max="3" width="13.140625" customWidth="1"/>
    <col min="4" max="4" width="15" bestFit="1" customWidth="1"/>
    <col min="5" max="5" width="15.28515625" style="16" customWidth="1"/>
  </cols>
  <sheetData>
    <row r="1" spans="1:6" ht="18.75" x14ac:dyDescent="0.3">
      <c r="A1" s="3" t="s">
        <v>141</v>
      </c>
      <c r="C1" s="8"/>
      <c r="D1" s="8"/>
    </row>
    <row r="2" spans="1:6" s="16" customFormat="1" x14ac:dyDescent="0.25">
      <c r="A2" s="1" t="s">
        <v>89</v>
      </c>
      <c r="C2" s="8"/>
      <c r="D2" s="8">
        <f>'Endelig 2014'!B4</f>
        <v>3000000</v>
      </c>
    </row>
    <row r="3" spans="1:6" s="16" customFormat="1" x14ac:dyDescent="0.25">
      <c r="A3" s="1" t="s">
        <v>90</v>
      </c>
      <c r="C3" s="8"/>
      <c r="D3" s="8">
        <f>'Endelig 2014'!B6</f>
        <v>232000000</v>
      </c>
    </row>
    <row r="4" spans="1:6" s="16" customFormat="1" x14ac:dyDescent="0.25">
      <c r="A4" s="1"/>
      <c r="B4" s="7" t="s">
        <v>91</v>
      </c>
      <c r="C4" s="8" t="s">
        <v>129</v>
      </c>
      <c r="D4" s="8" t="s">
        <v>16</v>
      </c>
      <c r="E4" s="7" t="s">
        <v>26</v>
      </c>
    </row>
    <row r="5" spans="1:6" x14ac:dyDescent="0.25">
      <c r="A5" s="1" t="s">
        <v>36</v>
      </c>
      <c r="B5" s="38">
        <f>'Endelig 2014'!C8</f>
        <v>144021888</v>
      </c>
      <c r="C5" s="39">
        <f>'Endelig 2014'!D8</f>
        <v>33782912</v>
      </c>
      <c r="D5" s="39">
        <f>SUM(B5:C5)</f>
        <v>177804800</v>
      </c>
      <c r="E5" s="17"/>
    </row>
    <row r="6" spans="1:6" x14ac:dyDescent="0.25">
      <c r="A6" s="1" t="s">
        <v>34</v>
      </c>
      <c r="B6" s="38">
        <f>'Endelig 2014'!C9</f>
        <v>19095368</v>
      </c>
      <c r="C6" s="39">
        <f>'Endelig 2014'!D9</f>
        <v>5417432</v>
      </c>
      <c r="D6" s="39">
        <f t="shared" ref="D6:D7" si="0">SUM(B6:C6)</f>
        <v>24512800</v>
      </c>
      <c r="E6" s="17"/>
    </row>
    <row r="7" spans="1:6" s="16" customFormat="1" x14ac:dyDescent="0.25">
      <c r="A7" s="1" t="s">
        <v>92</v>
      </c>
      <c r="B7" s="38">
        <f>'Endelig 2014'!C10</f>
        <v>4000000</v>
      </c>
      <c r="C7" s="39"/>
      <c r="D7" s="39">
        <f t="shared" si="0"/>
        <v>4000000</v>
      </c>
      <c r="E7" s="39">
        <v>4000000</v>
      </c>
    </row>
    <row r="8" spans="1:6" x14ac:dyDescent="0.25">
      <c r="A8" s="1" t="s">
        <v>93</v>
      </c>
      <c r="B8" s="38">
        <f>SUM(B5:B7)</f>
        <v>167117256</v>
      </c>
      <c r="C8" s="39">
        <f t="shared" ref="C8:D8" si="1">SUM(C5:C7)</f>
        <v>39200344</v>
      </c>
      <c r="D8" s="39">
        <f t="shared" si="1"/>
        <v>206317600</v>
      </c>
      <c r="E8" s="17"/>
    </row>
    <row r="9" spans="1:6" s="16" customFormat="1" x14ac:dyDescent="0.25">
      <c r="A9" s="1" t="s">
        <v>37</v>
      </c>
      <c r="B9" s="38">
        <f>'Endelig 2014'!C11</f>
        <v>19999305</v>
      </c>
      <c r="C9" s="39">
        <f>'Endelig 2014'!D11</f>
        <v>4691195</v>
      </c>
      <c r="D9" s="39">
        <f>SUM(B9:C9)</f>
        <v>24690500</v>
      </c>
      <c r="E9" s="39">
        <v>991900</v>
      </c>
    </row>
    <row r="10" spans="1:6" s="16" customFormat="1" x14ac:dyDescent="0.25">
      <c r="A10" s="1" t="s">
        <v>16</v>
      </c>
      <c r="B10" s="38">
        <f>SUM(B8:B9)</f>
        <v>187116561</v>
      </c>
      <c r="C10" s="39">
        <f t="shared" ref="C10:D10" si="2">SUM(C8:C9)</f>
        <v>43891539</v>
      </c>
      <c r="D10" s="39">
        <f t="shared" si="2"/>
        <v>231008100</v>
      </c>
      <c r="E10" s="39"/>
      <c r="F10" s="38">
        <f>SUM(D10+E9)</f>
        <v>232000000</v>
      </c>
    </row>
    <row r="11" spans="1:6" s="16" customFormat="1" ht="15.75" thickBot="1" x14ac:dyDescent="0.3">
      <c r="B11" s="38"/>
    </row>
    <row r="12" spans="1:6" x14ac:dyDescent="0.25">
      <c r="A12" s="47" t="s">
        <v>17</v>
      </c>
      <c r="B12" s="44" t="s">
        <v>18</v>
      </c>
      <c r="C12" s="34" t="s">
        <v>19</v>
      </c>
      <c r="D12" s="34" t="s">
        <v>20</v>
      </c>
      <c r="E12" s="34"/>
      <c r="F12" s="13" t="s">
        <v>16</v>
      </c>
    </row>
    <row r="13" spans="1:6" x14ac:dyDescent="0.25">
      <c r="A13" s="49" t="s">
        <v>132</v>
      </c>
      <c r="B13" s="20"/>
      <c r="C13" s="20"/>
      <c r="D13" s="20"/>
      <c r="E13" s="20"/>
      <c r="F13" s="21"/>
    </row>
    <row r="14" spans="1:6" x14ac:dyDescent="0.25">
      <c r="A14" s="27" t="s">
        <v>1</v>
      </c>
      <c r="B14" s="14">
        <v>20</v>
      </c>
      <c r="C14" s="23">
        <f>SUM($B$5/2/16)</f>
        <v>4500684</v>
      </c>
      <c r="D14" s="23">
        <f>($B$5*B14/100)/2</f>
        <v>14402188.800000001</v>
      </c>
      <c r="E14" s="23"/>
      <c r="F14" s="28">
        <f>SUM(C14:D14)</f>
        <v>18902872.800000001</v>
      </c>
    </row>
    <row r="15" spans="1:6" x14ac:dyDescent="0.25">
      <c r="A15" s="27" t="s">
        <v>3</v>
      </c>
      <c r="B15" s="14">
        <v>16</v>
      </c>
      <c r="C15" s="23">
        <f t="shared" ref="C15:C29" si="3">SUM($B$5/2/16)</f>
        <v>4500684</v>
      </c>
      <c r="D15" s="23">
        <f t="shared" ref="D15:D29" si="4">($B$5*B15/100)/2</f>
        <v>11521751.039999999</v>
      </c>
      <c r="E15" s="23"/>
      <c r="F15" s="28">
        <f t="shared" ref="F15:F29" si="5">SUM(C15:D15)</f>
        <v>16022435.039999999</v>
      </c>
    </row>
    <row r="16" spans="1:6" x14ac:dyDescent="0.25">
      <c r="A16" s="27" t="s">
        <v>101</v>
      </c>
      <c r="B16" s="14">
        <v>12</v>
      </c>
      <c r="C16" s="23">
        <f t="shared" si="3"/>
        <v>4500684</v>
      </c>
      <c r="D16" s="23">
        <f t="shared" si="4"/>
        <v>8641313.2799999993</v>
      </c>
      <c r="E16" s="23"/>
      <c r="F16" s="28">
        <f t="shared" si="5"/>
        <v>13141997.279999999</v>
      </c>
    </row>
    <row r="17" spans="1:13" x14ac:dyDescent="0.25">
      <c r="A17" s="27" t="s">
        <v>2</v>
      </c>
      <c r="B17" s="14">
        <v>7</v>
      </c>
      <c r="C17" s="23">
        <f t="shared" si="3"/>
        <v>4500684</v>
      </c>
      <c r="D17" s="23">
        <f t="shared" si="4"/>
        <v>5040766.08</v>
      </c>
      <c r="E17" s="23"/>
      <c r="F17" s="28">
        <f t="shared" si="5"/>
        <v>9541450.0800000001</v>
      </c>
    </row>
    <row r="18" spans="1:13" x14ac:dyDescent="0.25">
      <c r="A18" s="27" t="s">
        <v>123</v>
      </c>
      <c r="B18" s="14">
        <v>6</v>
      </c>
      <c r="C18" s="23">
        <f t="shared" si="3"/>
        <v>4500684</v>
      </c>
      <c r="D18" s="23">
        <f t="shared" si="4"/>
        <v>4320656.6399999997</v>
      </c>
      <c r="E18" s="23"/>
      <c r="F18" s="28">
        <f t="shared" si="5"/>
        <v>8821340.6400000006</v>
      </c>
    </row>
    <row r="19" spans="1:13" x14ac:dyDescent="0.25">
      <c r="A19" s="27" t="s">
        <v>8</v>
      </c>
      <c r="B19" s="14">
        <v>5.5</v>
      </c>
      <c r="C19" s="23">
        <f t="shared" si="3"/>
        <v>4500684</v>
      </c>
      <c r="D19" s="23">
        <f t="shared" si="4"/>
        <v>3960601.92</v>
      </c>
      <c r="E19" s="23"/>
      <c r="F19" s="28">
        <f t="shared" si="5"/>
        <v>8461285.9199999999</v>
      </c>
    </row>
    <row r="20" spans="1:13" x14ac:dyDescent="0.25">
      <c r="A20" s="27" t="s">
        <v>9</v>
      </c>
      <c r="B20" s="14">
        <v>5</v>
      </c>
      <c r="C20" s="23">
        <f t="shared" si="3"/>
        <v>4500684</v>
      </c>
      <c r="D20" s="23">
        <f t="shared" si="4"/>
        <v>3600547.2</v>
      </c>
      <c r="E20" s="23"/>
      <c r="F20" s="28">
        <f t="shared" si="5"/>
        <v>8101231.2000000002</v>
      </c>
    </row>
    <row r="21" spans="1:13" x14ac:dyDescent="0.25">
      <c r="A21" s="27" t="s">
        <v>124</v>
      </c>
      <c r="B21" s="14">
        <v>4.5</v>
      </c>
      <c r="C21" s="23">
        <f t="shared" si="3"/>
        <v>4500684</v>
      </c>
      <c r="D21" s="23">
        <f t="shared" si="4"/>
        <v>3240492.48</v>
      </c>
      <c r="E21" s="23"/>
      <c r="F21" s="28">
        <f t="shared" si="5"/>
        <v>7741176.4800000004</v>
      </c>
    </row>
    <row r="22" spans="1:13" x14ac:dyDescent="0.25">
      <c r="A22" s="27" t="s">
        <v>13</v>
      </c>
      <c r="B22" s="14">
        <v>4</v>
      </c>
      <c r="C22" s="23">
        <f t="shared" si="3"/>
        <v>4500684</v>
      </c>
      <c r="D22" s="23">
        <f t="shared" si="4"/>
        <v>2880437.76</v>
      </c>
      <c r="E22" s="23"/>
      <c r="F22" s="28">
        <f t="shared" si="5"/>
        <v>7381121.7599999998</v>
      </c>
    </row>
    <row r="23" spans="1:13" x14ac:dyDescent="0.25">
      <c r="A23" s="27" t="s">
        <v>5</v>
      </c>
      <c r="B23" s="14">
        <v>4</v>
      </c>
      <c r="C23" s="23">
        <f t="shared" si="3"/>
        <v>4500684</v>
      </c>
      <c r="D23" s="23">
        <f t="shared" si="4"/>
        <v>2880437.76</v>
      </c>
      <c r="E23" s="23"/>
      <c r="F23" s="28">
        <f t="shared" si="5"/>
        <v>7381121.7599999998</v>
      </c>
    </row>
    <row r="24" spans="1:13" x14ac:dyDescent="0.25">
      <c r="A24" s="27" t="s">
        <v>7</v>
      </c>
      <c r="B24" s="14">
        <v>3.5</v>
      </c>
      <c r="C24" s="23">
        <f t="shared" si="3"/>
        <v>4500684</v>
      </c>
      <c r="D24" s="23">
        <f t="shared" si="4"/>
        <v>2520383.04</v>
      </c>
      <c r="E24" s="23"/>
      <c r="F24" s="28">
        <f t="shared" si="5"/>
        <v>7021067.04</v>
      </c>
    </row>
    <row r="25" spans="1:13" x14ac:dyDescent="0.25">
      <c r="A25" s="27" t="s">
        <v>94</v>
      </c>
      <c r="B25" s="14">
        <v>3.5</v>
      </c>
      <c r="C25" s="23">
        <f t="shared" si="3"/>
        <v>4500684</v>
      </c>
      <c r="D25" s="23">
        <f t="shared" si="4"/>
        <v>2520383.04</v>
      </c>
      <c r="E25" s="23"/>
      <c r="F25" s="28">
        <f t="shared" si="5"/>
        <v>7021067.04</v>
      </c>
    </row>
    <row r="26" spans="1:13" x14ac:dyDescent="0.25">
      <c r="A26" s="27" t="s">
        <v>95</v>
      </c>
      <c r="B26" s="14">
        <v>3</v>
      </c>
      <c r="C26" s="23">
        <f t="shared" si="3"/>
        <v>4500684</v>
      </c>
      <c r="D26" s="23">
        <f t="shared" si="4"/>
        <v>2160328.3199999998</v>
      </c>
      <c r="E26" s="23"/>
      <c r="F26" s="28">
        <f t="shared" si="5"/>
        <v>6661012.3200000003</v>
      </c>
    </row>
    <row r="27" spans="1:13" x14ac:dyDescent="0.25">
      <c r="A27" s="27" t="s">
        <v>6</v>
      </c>
      <c r="B27" s="14">
        <v>2</v>
      </c>
      <c r="C27" s="23">
        <f t="shared" si="3"/>
        <v>4500684</v>
      </c>
      <c r="D27" s="23">
        <f t="shared" si="4"/>
        <v>1440218.88</v>
      </c>
      <c r="E27" s="23"/>
      <c r="F27" s="28">
        <f t="shared" si="5"/>
        <v>5940902.8799999999</v>
      </c>
    </row>
    <row r="28" spans="1:13" x14ac:dyDescent="0.25">
      <c r="A28" s="123" t="s">
        <v>10</v>
      </c>
      <c r="B28" s="14">
        <v>2</v>
      </c>
      <c r="C28" s="23">
        <f t="shared" si="3"/>
        <v>4500684</v>
      </c>
      <c r="D28" s="23">
        <f t="shared" si="4"/>
        <v>1440218.88</v>
      </c>
      <c r="E28" s="23"/>
      <c r="F28" s="28">
        <f t="shared" si="5"/>
        <v>5940902.8799999999</v>
      </c>
    </row>
    <row r="29" spans="1:13" x14ac:dyDescent="0.25">
      <c r="A29" s="123" t="s">
        <v>11</v>
      </c>
      <c r="B29" s="14">
        <v>2</v>
      </c>
      <c r="C29" s="23">
        <f t="shared" si="3"/>
        <v>4500684</v>
      </c>
      <c r="D29" s="23">
        <f t="shared" si="4"/>
        <v>1440218.88</v>
      </c>
      <c r="E29" s="23"/>
      <c r="F29" s="28">
        <f t="shared" si="5"/>
        <v>5940902.8799999999</v>
      </c>
    </row>
    <row r="30" spans="1:13" x14ac:dyDescent="0.25">
      <c r="A30" s="27"/>
      <c r="B30" s="20"/>
      <c r="C30" s="43"/>
      <c r="D30" s="43"/>
      <c r="E30" s="43"/>
      <c r="F30" s="48"/>
    </row>
    <row r="31" spans="1:13" x14ac:dyDescent="0.25">
      <c r="A31" s="40" t="s">
        <v>14</v>
      </c>
      <c r="B31" s="12">
        <f>SUM(B14:B29)</f>
        <v>100</v>
      </c>
      <c r="C31" s="41">
        <f>SUM(C14:C29)</f>
        <v>72010944</v>
      </c>
      <c r="D31" s="41">
        <f>SUM(D14:D29)</f>
        <v>72010943.99999997</v>
      </c>
      <c r="E31" s="41"/>
      <c r="F31" s="41">
        <f t="shared" ref="F31" si="6">SUM(F14:F29)</f>
        <v>144021888.00000003</v>
      </c>
      <c r="G31" s="19"/>
      <c r="H31" s="20"/>
      <c r="I31" s="20"/>
      <c r="J31" s="20"/>
      <c r="K31" s="20"/>
      <c r="L31" s="20"/>
      <c r="M31" s="20"/>
    </row>
    <row r="32" spans="1:13" x14ac:dyDescent="0.25">
      <c r="A32" s="19"/>
      <c r="G32" s="19"/>
      <c r="H32" s="20"/>
      <c r="I32" s="20"/>
      <c r="J32" s="20"/>
      <c r="K32" s="20"/>
      <c r="L32" s="20"/>
      <c r="M32" s="20"/>
    </row>
    <row r="33" spans="1:13" ht="15.75" thickBot="1" x14ac:dyDescent="0.3">
      <c r="A33" s="49" t="s">
        <v>129</v>
      </c>
      <c r="B33" s="7" t="s">
        <v>18</v>
      </c>
      <c r="C33" s="1" t="s">
        <v>19</v>
      </c>
      <c r="D33" s="1" t="s">
        <v>128</v>
      </c>
      <c r="E33" s="11" t="s">
        <v>21</v>
      </c>
      <c r="F33" s="11" t="s">
        <v>16</v>
      </c>
      <c r="G33" s="42"/>
      <c r="H33" s="20"/>
      <c r="I33" s="20"/>
      <c r="J33" s="20"/>
      <c r="K33" s="20"/>
      <c r="L33" s="20"/>
      <c r="M33" s="20"/>
    </row>
    <row r="34" spans="1:13" x14ac:dyDescent="0.25">
      <c r="A34" s="27"/>
      <c r="G34" s="133">
        <v>2010</v>
      </c>
      <c r="H34" s="32">
        <v>2011</v>
      </c>
      <c r="I34" s="32">
        <v>2012</v>
      </c>
      <c r="J34" s="32">
        <v>2013</v>
      </c>
      <c r="K34" s="32">
        <v>2014</v>
      </c>
      <c r="L34" s="51" t="s">
        <v>22</v>
      </c>
      <c r="M34" s="134" t="s">
        <v>30</v>
      </c>
    </row>
    <row r="35" spans="1:13" x14ac:dyDescent="0.25">
      <c r="A35" s="123" t="s">
        <v>97</v>
      </c>
      <c r="B35" s="109">
        <v>20</v>
      </c>
      <c r="C35" s="39">
        <f>$C$8*0.5/16</f>
        <v>1225010.75</v>
      </c>
      <c r="D35" s="39">
        <f>$C$8*0.25*0.2</f>
        <v>1960017.2000000002</v>
      </c>
      <c r="E35" s="39">
        <f>$C$8*0.25*0.12</f>
        <v>1176010.32</v>
      </c>
      <c r="F35" s="39">
        <f>C35+D35+E35</f>
        <v>4361038.2700000005</v>
      </c>
      <c r="G35" s="27">
        <v>0</v>
      </c>
      <c r="H35" s="22">
        <v>3</v>
      </c>
      <c r="I35" s="22">
        <v>3</v>
      </c>
      <c r="J35" s="22">
        <v>8</v>
      </c>
      <c r="K35" s="22">
        <v>1</v>
      </c>
      <c r="L35" s="22">
        <f>SUM(G35:K35)</f>
        <v>15</v>
      </c>
      <c r="M35" s="50">
        <v>3</v>
      </c>
    </row>
    <row r="36" spans="1:13" x14ac:dyDescent="0.25">
      <c r="A36" s="123" t="s">
        <v>4</v>
      </c>
      <c r="B36" s="109">
        <v>16</v>
      </c>
      <c r="C36" s="39">
        <f t="shared" ref="C36:C50" si="7">$C$8*0.5/16</f>
        <v>1225010.75</v>
      </c>
      <c r="D36" s="39">
        <f>$C$8*0.25*0.16</f>
        <v>1568013.76</v>
      </c>
      <c r="E36" s="39">
        <f>$C$8*0.25*0.2</f>
        <v>1960017.2000000002</v>
      </c>
      <c r="F36" s="39">
        <f t="shared" ref="F36:F50" si="8">C36+D36+E36</f>
        <v>4753041.71</v>
      </c>
      <c r="G36" s="27">
        <v>0</v>
      </c>
      <c r="H36" s="22">
        <v>0</v>
      </c>
      <c r="I36" s="22">
        <v>0</v>
      </c>
      <c r="J36" s="22">
        <v>0</v>
      </c>
      <c r="K36" s="22">
        <v>2</v>
      </c>
      <c r="L36" s="22">
        <f t="shared" ref="L36:L50" si="9">SUM(G36:K36)</f>
        <v>2</v>
      </c>
      <c r="M36" s="50">
        <v>1</v>
      </c>
    </row>
    <row r="37" spans="1:13" x14ac:dyDescent="0.25">
      <c r="A37" s="27" t="s">
        <v>99</v>
      </c>
      <c r="B37" s="109">
        <v>12</v>
      </c>
      <c r="C37" s="39">
        <f t="shared" si="7"/>
        <v>1225010.75</v>
      </c>
      <c r="D37" s="39">
        <f>$C$8*0.25*0.12</f>
        <v>1176010.32</v>
      </c>
      <c r="E37" s="39">
        <v>588005</v>
      </c>
      <c r="F37" s="39">
        <f t="shared" si="8"/>
        <v>2989026.0700000003</v>
      </c>
      <c r="G37" s="27">
        <v>10</v>
      </c>
      <c r="H37" s="22">
        <v>10</v>
      </c>
      <c r="I37" s="22">
        <v>4</v>
      </c>
      <c r="J37" s="22">
        <v>6</v>
      </c>
      <c r="K37" s="22">
        <v>3</v>
      </c>
      <c r="L37" s="22">
        <f t="shared" si="9"/>
        <v>33</v>
      </c>
      <c r="M37" s="50">
        <v>6</v>
      </c>
    </row>
    <row r="38" spans="1:13" x14ac:dyDescent="0.25">
      <c r="A38" s="27" t="s">
        <v>96</v>
      </c>
      <c r="B38" s="109">
        <v>7</v>
      </c>
      <c r="C38" s="39">
        <f t="shared" si="7"/>
        <v>1225010.75</v>
      </c>
      <c r="D38" s="39">
        <f>$C$8*0.25*0.07</f>
        <v>686006.02</v>
      </c>
      <c r="E38" s="39">
        <v>343003</v>
      </c>
      <c r="F38" s="39">
        <f t="shared" si="8"/>
        <v>2254019.77</v>
      </c>
      <c r="G38" s="27">
        <v>17</v>
      </c>
      <c r="H38" s="22">
        <v>17</v>
      </c>
      <c r="I38" s="22">
        <v>17</v>
      </c>
      <c r="J38" s="22">
        <v>9</v>
      </c>
      <c r="K38" s="22">
        <v>4</v>
      </c>
      <c r="L38" s="22">
        <f t="shared" si="9"/>
        <v>64</v>
      </c>
      <c r="M38" s="50">
        <v>11</v>
      </c>
    </row>
    <row r="39" spans="1:13" x14ac:dyDescent="0.25">
      <c r="A39" s="27" t="s">
        <v>119</v>
      </c>
      <c r="B39" s="109">
        <v>6.5</v>
      </c>
      <c r="C39" s="39">
        <f t="shared" si="7"/>
        <v>1225010.75</v>
      </c>
      <c r="D39" s="39">
        <f>$C$8*0.25*0.065</f>
        <v>637005.59</v>
      </c>
      <c r="E39" s="39">
        <v>196002</v>
      </c>
      <c r="F39" s="39">
        <f t="shared" si="8"/>
        <v>2058018.3399999999</v>
      </c>
      <c r="G39" s="27">
        <v>17</v>
      </c>
      <c r="H39" s="22">
        <v>17</v>
      </c>
      <c r="I39" s="22">
        <v>14</v>
      </c>
      <c r="J39" s="22">
        <v>17</v>
      </c>
      <c r="K39" s="22">
        <v>5</v>
      </c>
      <c r="L39" s="22">
        <f t="shared" si="9"/>
        <v>70</v>
      </c>
      <c r="M39" s="50">
        <v>14</v>
      </c>
    </row>
    <row r="40" spans="1:13" x14ac:dyDescent="0.25">
      <c r="A40" s="27" t="s">
        <v>12</v>
      </c>
      <c r="B40" s="109">
        <v>6</v>
      </c>
      <c r="C40" s="39">
        <f t="shared" si="7"/>
        <v>1225010.75</v>
      </c>
      <c r="D40" s="39">
        <f>$C$8*0.25*0.06</f>
        <v>588005.16</v>
      </c>
      <c r="E40" s="39">
        <v>686006</v>
      </c>
      <c r="F40" s="39">
        <f t="shared" si="8"/>
        <v>2499021.91</v>
      </c>
      <c r="G40" s="27">
        <v>3</v>
      </c>
      <c r="H40" s="22">
        <v>0</v>
      </c>
      <c r="I40" s="22">
        <v>0</v>
      </c>
      <c r="J40" s="22">
        <v>10</v>
      </c>
      <c r="K40" s="22">
        <v>6</v>
      </c>
      <c r="L40" s="22">
        <f t="shared" si="9"/>
        <v>19</v>
      </c>
      <c r="M40" s="50">
        <v>4</v>
      </c>
    </row>
    <row r="41" spans="1:13" x14ac:dyDescent="0.25">
      <c r="A41" s="27" t="s">
        <v>102</v>
      </c>
      <c r="B41" s="109">
        <v>5.5</v>
      </c>
      <c r="C41" s="39">
        <f t="shared" si="7"/>
        <v>1225010.75</v>
      </c>
      <c r="D41" s="39">
        <f>$C$8*0.25*0.055</f>
        <v>539004.73</v>
      </c>
      <c r="E41" s="39">
        <v>637006</v>
      </c>
      <c r="F41" s="39">
        <f t="shared" si="8"/>
        <v>2401021.48</v>
      </c>
      <c r="G41" s="27">
        <v>5</v>
      </c>
      <c r="H41" s="22">
        <v>4</v>
      </c>
      <c r="I41" s="22">
        <v>7</v>
      </c>
      <c r="J41" s="22">
        <v>4</v>
      </c>
      <c r="K41" s="22">
        <v>7</v>
      </c>
      <c r="L41" s="22">
        <f t="shared" si="9"/>
        <v>27</v>
      </c>
      <c r="M41" s="50">
        <v>5</v>
      </c>
    </row>
    <row r="42" spans="1:13" x14ac:dyDescent="0.25">
      <c r="A42" s="27" t="s">
        <v>98</v>
      </c>
      <c r="B42" s="109">
        <v>5</v>
      </c>
      <c r="C42" s="39">
        <f t="shared" si="7"/>
        <v>1225010.75</v>
      </c>
      <c r="D42" s="39">
        <f>$C$8*0.25*0.05</f>
        <v>490004.30000000005</v>
      </c>
      <c r="E42" s="39">
        <v>490004</v>
      </c>
      <c r="F42" s="39">
        <f t="shared" si="8"/>
        <v>2205019.0499999998</v>
      </c>
      <c r="G42" s="27">
        <v>17</v>
      </c>
      <c r="H42" s="22">
        <v>8</v>
      </c>
      <c r="I42" s="22">
        <v>12</v>
      </c>
      <c r="J42" s="22">
        <v>3</v>
      </c>
      <c r="K42" s="22">
        <v>8</v>
      </c>
      <c r="L42" s="22">
        <f t="shared" si="9"/>
        <v>48</v>
      </c>
      <c r="M42" s="50">
        <v>8</v>
      </c>
    </row>
    <row r="43" spans="1:13" x14ac:dyDescent="0.25">
      <c r="A43" s="27" t="s">
        <v>115</v>
      </c>
      <c r="B43" s="109">
        <v>4.5</v>
      </c>
      <c r="C43" s="39">
        <f t="shared" si="7"/>
        <v>1225010.75</v>
      </c>
      <c r="D43" s="39">
        <f>$C$8*0.25*0.045</f>
        <v>441003.87</v>
      </c>
      <c r="E43" s="39">
        <v>539005</v>
      </c>
      <c r="F43" s="39">
        <f t="shared" si="8"/>
        <v>2205019.62</v>
      </c>
      <c r="G43" s="27">
        <v>9</v>
      </c>
      <c r="H43" s="22">
        <v>9</v>
      </c>
      <c r="I43" s="22">
        <v>10</v>
      </c>
      <c r="J43" s="22">
        <v>7</v>
      </c>
      <c r="K43" s="22">
        <v>9</v>
      </c>
      <c r="L43" s="22">
        <f t="shared" si="9"/>
        <v>44</v>
      </c>
      <c r="M43" s="50">
        <v>7</v>
      </c>
    </row>
    <row r="44" spans="1:13" x14ac:dyDescent="0.25">
      <c r="A44" s="27" t="s">
        <v>100</v>
      </c>
      <c r="B44" s="109">
        <v>4</v>
      </c>
      <c r="C44" s="39">
        <f t="shared" si="7"/>
        <v>1225010.75</v>
      </c>
      <c r="D44" s="39">
        <f>$C$8*0.25*0.04</f>
        <v>392003.44</v>
      </c>
      <c r="E44" s="39">
        <v>441004</v>
      </c>
      <c r="F44" s="39">
        <f t="shared" si="8"/>
        <v>2058018.19</v>
      </c>
      <c r="G44" s="27">
        <v>7</v>
      </c>
      <c r="H44" s="92">
        <v>12</v>
      </c>
      <c r="I44" s="22">
        <v>11</v>
      </c>
      <c r="J44" s="22">
        <v>11</v>
      </c>
      <c r="K44" s="22">
        <v>10</v>
      </c>
      <c r="L44" s="22">
        <f t="shared" si="9"/>
        <v>51</v>
      </c>
      <c r="M44" s="50">
        <v>9</v>
      </c>
    </row>
    <row r="45" spans="1:13" x14ac:dyDescent="0.25">
      <c r="A45" s="27" t="s">
        <v>117</v>
      </c>
      <c r="B45" s="109">
        <v>3.5</v>
      </c>
      <c r="C45" s="39">
        <f t="shared" si="7"/>
        <v>1225010.75</v>
      </c>
      <c r="D45" s="39">
        <f>$C$8*0.25*0.035</f>
        <v>343003.01</v>
      </c>
      <c r="E45" s="39">
        <v>1568014</v>
      </c>
      <c r="F45" s="39">
        <f t="shared" si="8"/>
        <v>3136027.76</v>
      </c>
      <c r="G45" s="27">
        <v>0</v>
      </c>
      <c r="H45" s="22">
        <v>1</v>
      </c>
      <c r="I45" s="22">
        <v>0</v>
      </c>
      <c r="J45" s="22">
        <v>0</v>
      </c>
      <c r="K45" s="22">
        <v>11</v>
      </c>
      <c r="L45" s="22">
        <f t="shared" si="9"/>
        <v>12</v>
      </c>
      <c r="M45" s="50">
        <v>2</v>
      </c>
    </row>
    <row r="46" spans="1:13" x14ac:dyDescent="0.25">
      <c r="A46" s="27" t="s">
        <v>140</v>
      </c>
      <c r="B46" s="109">
        <v>3</v>
      </c>
      <c r="C46" s="39">
        <f t="shared" si="7"/>
        <v>1225010.75</v>
      </c>
      <c r="D46" s="39">
        <f>$C$8*0.25*0.03</f>
        <v>294002.58</v>
      </c>
      <c r="E46" s="39">
        <v>98001</v>
      </c>
      <c r="F46" s="39">
        <f t="shared" si="8"/>
        <v>1617014.33</v>
      </c>
      <c r="G46" s="27">
        <v>17</v>
      </c>
      <c r="H46" s="22">
        <v>17</v>
      </c>
      <c r="I46" s="22">
        <v>17</v>
      </c>
      <c r="J46" s="22">
        <v>17</v>
      </c>
      <c r="K46" s="22">
        <v>12</v>
      </c>
      <c r="L46" s="22">
        <f t="shared" si="9"/>
        <v>80</v>
      </c>
      <c r="M46" s="50">
        <v>16</v>
      </c>
    </row>
    <row r="47" spans="1:13" x14ac:dyDescent="0.25">
      <c r="A47" s="123" t="s">
        <v>120</v>
      </c>
      <c r="B47" s="109">
        <v>2.5</v>
      </c>
      <c r="C47" s="39">
        <f t="shared" si="7"/>
        <v>1225010.75</v>
      </c>
      <c r="D47" s="39">
        <f>$C$8*0.25*0.025</f>
        <v>245002.15000000002</v>
      </c>
      <c r="E47" s="39">
        <v>294003</v>
      </c>
      <c r="F47" s="39">
        <f t="shared" si="8"/>
        <v>1764015.9</v>
      </c>
      <c r="G47" s="27">
        <v>8</v>
      </c>
      <c r="H47" s="22">
        <v>11</v>
      </c>
      <c r="I47" s="22">
        <v>16</v>
      </c>
      <c r="J47" s="22">
        <v>17</v>
      </c>
      <c r="K47" s="22">
        <v>13</v>
      </c>
      <c r="L47" s="22">
        <f t="shared" si="9"/>
        <v>65</v>
      </c>
      <c r="M47" s="50">
        <v>12</v>
      </c>
    </row>
    <row r="48" spans="1:13" x14ac:dyDescent="0.25">
      <c r="A48" s="123" t="s">
        <v>118</v>
      </c>
      <c r="B48" s="109">
        <v>2</v>
      </c>
      <c r="C48" s="39">
        <f t="shared" si="7"/>
        <v>1225010.75</v>
      </c>
      <c r="D48" s="39">
        <f>$C$8*0.25*0.02</f>
        <v>196001.72</v>
      </c>
      <c r="E48" s="39">
        <f>$C$8*0.25*0.015</f>
        <v>147001.29</v>
      </c>
      <c r="F48" s="39">
        <f t="shared" si="8"/>
        <v>1568013.76</v>
      </c>
      <c r="G48" s="27">
        <v>14</v>
      </c>
      <c r="H48" s="22">
        <v>17</v>
      </c>
      <c r="I48" s="22">
        <v>13</v>
      </c>
      <c r="J48" s="22">
        <v>17</v>
      </c>
      <c r="K48" s="22">
        <v>14</v>
      </c>
      <c r="L48" s="22">
        <f t="shared" si="9"/>
        <v>75</v>
      </c>
      <c r="M48" s="50">
        <v>15</v>
      </c>
    </row>
    <row r="49" spans="1:13" x14ac:dyDescent="0.25">
      <c r="A49" s="123" t="s">
        <v>104</v>
      </c>
      <c r="B49" s="109">
        <v>1.5</v>
      </c>
      <c r="C49" s="39">
        <f t="shared" si="7"/>
        <v>1225010.75</v>
      </c>
      <c r="D49" s="39">
        <f>$C$8*0.25*0.015</f>
        <v>147001.29</v>
      </c>
      <c r="E49" s="39">
        <v>245002</v>
      </c>
      <c r="F49" s="39">
        <f t="shared" si="8"/>
        <v>1617014.04</v>
      </c>
      <c r="G49" s="27">
        <v>17</v>
      </c>
      <c r="H49" s="22">
        <v>17</v>
      </c>
      <c r="I49" s="22">
        <v>6</v>
      </c>
      <c r="J49" s="22">
        <v>12</v>
      </c>
      <c r="K49" s="22">
        <v>15</v>
      </c>
      <c r="L49" s="22">
        <f t="shared" si="9"/>
        <v>67</v>
      </c>
      <c r="M49" s="50">
        <v>13</v>
      </c>
    </row>
    <row r="50" spans="1:13" x14ac:dyDescent="0.25">
      <c r="A50" s="123" t="s">
        <v>103</v>
      </c>
      <c r="B50" s="109">
        <v>1</v>
      </c>
      <c r="C50" s="39">
        <f t="shared" si="7"/>
        <v>1225010.75</v>
      </c>
      <c r="D50" s="39">
        <f>$C$8*0.25*0.01</f>
        <v>98000.86</v>
      </c>
      <c r="E50" s="39">
        <f>$C$8*0.25*0.04</f>
        <v>392003.44</v>
      </c>
      <c r="F50" s="39">
        <f t="shared" si="8"/>
        <v>1715015.05</v>
      </c>
      <c r="G50" s="108">
        <v>17</v>
      </c>
      <c r="H50" s="22">
        <v>6</v>
      </c>
      <c r="I50" s="22">
        <v>8</v>
      </c>
      <c r="J50" s="22">
        <v>5</v>
      </c>
      <c r="K50" s="22">
        <v>16</v>
      </c>
      <c r="L50" s="22">
        <f t="shared" si="9"/>
        <v>52</v>
      </c>
      <c r="M50" s="50">
        <v>10</v>
      </c>
    </row>
    <row r="51" spans="1:13" x14ac:dyDescent="0.25">
      <c r="A51" s="27"/>
      <c r="B51" s="10"/>
      <c r="G51" s="19"/>
      <c r="H51" s="20"/>
      <c r="I51" s="20"/>
      <c r="J51" s="20"/>
      <c r="K51" s="20"/>
      <c r="L51" s="20"/>
      <c r="M51" s="21"/>
    </row>
    <row r="52" spans="1:13" ht="15.75" thickBot="1" x14ac:dyDescent="0.3">
      <c r="A52" s="29" t="s">
        <v>14</v>
      </c>
      <c r="B52" s="9">
        <f>SUM(B35:B51)</f>
        <v>100</v>
      </c>
      <c r="C52" s="25">
        <f t="shared" ref="C52" si="10">SUM(C35:C51)</f>
        <v>19600172</v>
      </c>
      <c r="D52" s="25">
        <f t="shared" ref="D52" si="11">SUM(D35:D51)</f>
        <v>9800086</v>
      </c>
      <c r="E52" s="25">
        <f t="shared" ref="E52" si="12">SUM(E35:E51)</f>
        <v>9800087.2499999981</v>
      </c>
      <c r="F52" s="25">
        <f>C52+D52+E52-1</f>
        <v>39200344.25</v>
      </c>
      <c r="G52" s="29">
        <v>136</v>
      </c>
      <c r="H52" s="33">
        <v>136</v>
      </c>
      <c r="I52" s="33">
        <v>136</v>
      </c>
      <c r="J52" s="33">
        <v>136</v>
      </c>
      <c r="K52" s="33">
        <f>SUM(K35:K50)</f>
        <v>136</v>
      </c>
      <c r="L52" s="33">
        <f>SUM(L35:L50)</f>
        <v>724</v>
      </c>
      <c r="M52" s="45">
        <f>SUM(M35:M50)</f>
        <v>136</v>
      </c>
    </row>
    <row r="53" spans="1:13" x14ac:dyDescent="0.25">
      <c r="A53" s="32"/>
      <c r="B53" s="10"/>
    </row>
    <row r="54" spans="1:13" x14ac:dyDescent="0.25">
      <c r="A54" s="19"/>
      <c r="B54" s="10"/>
    </row>
    <row r="55" spans="1:13" x14ac:dyDescent="0.25">
      <c r="A55" s="46"/>
      <c r="B55" s="10"/>
    </row>
  </sheetData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workbookViewId="0">
      <selection activeCell="W59" sqref="W59"/>
    </sheetView>
  </sheetViews>
  <sheetFormatPr baseColWidth="10" defaultRowHeight="15" x14ac:dyDescent="0.25"/>
  <cols>
    <col min="1" max="1" width="27.7109375" customWidth="1"/>
    <col min="15" max="15" width="17.5703125" customWidth="1"/>
    <col min="16" max="16" width="9.42578125" customWidth="1"/>
    <col min="17" max="17" width="11.28515625" customWidth="1"/>
    <col min="18" max="18" width="13.140625" customWidth="1"/>
    <col min="19" max="19" width="9.28515625" customWidth="1"/>
    <col min="20" max="20" width="10.85546875" customWidth="1"/>
    <col min="21" max="21" width="13.28515625" customWidth="1"/>
    <col min="22" max="22" width="12.140625" style="16" customWidth="1"/>
    <col min="23" max="23" width="13.28515625" customWidth="1"/>
    <col min="24" max="24" width="8.140625" style="16" customWidth="1"/>
    <col min="25" max="25" width="9.85546875" customWidth="1"/>
    <col min="26" max="26" width="9.85546875" style="16" customWidth="1"/>
  </cols>
  <sheetData>
    <row r="1" spans="1:26" s="16" customFormat="1" x14ac:dyDescent="0.25">
      <c r="O1" s="52" t="s">
        <v>145</v>
      </c>
      <c r="P1" s="51"/>
      <c r="Q1" s="51"/>
      <c r="R1" s="51"/>
      <c r="S1" s="51"/>
      <c r="T1" s="51"/>
      <c r="U1" s="51"/>
      <c r="V1" s="51"/>
      <c r="W1" s="18"/>
    </row>
    <row r="2" spans="1:26" s="16" customFormat="1" ht="15.75" thickBot="1" x14ac:dyDescent="0.3">
      <c r="O2" s="19"/>
      <c r="P2" s="20"/>
      <c r="Q2" s="20"/>
      <c r="R2" s="20"/>
      <c r="S2" s="20"/>
      <c r="T2" s="20"/>
      <c r="U2" s="20"/>
      <c r="V2" s="20"/>
      <c r="W2" s="21"/>
    </row>
    <row r="3" spans="1:26" x14ac:dyDescent="0.25">
      <c r="A3" s="52" t="s">
        <v>152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8"/>
      <c r="O3" s="42" t="s">
        <v>35</v>
      </c>
      <c r="P3" s="100" t="s">
        <v>31</v>
      </c>
      <c r="Q3" s="100" t="s">
        <v>75</v>
      </c>
      <c r="R3" s="100" t="s">
        <v>32</v>
      </c>
      <c r="S3" s="100" t="s">
        <v>84</v>
      </c>
      <c r="T3" s="100" t="s">
        <v>106</v>
      </c>
      <c r="U3" s="100" t="s">
        <v>108</v>
      </c>
      <c r="V3" s="100" t="s">
        <v>137</v>
      </c>
      <c r="W3" s="101" t="s">
        <v>34</v>
      </c>
      <c r="Z3" s="98"/>
    </row>
    <row r="4" spans="1:26" x14ac:dyDescent="0.25">
      <c r="A4" s="42"/>
      <c r="B4" s="20"/>
      <c r="C4" s="35"/>
      <c r="D4" s="35"/>
      <c r="E4" s="35"/>
      <c r="F4" s="35"/>
      <c r="G4" s="20"/>
      <c r="H4" s="20"/>
      <c r="I4" s="20"/>
      <c r="J4" s="20"/>
      <c r="K4" s="20"/>
      <c r="L4" s="20"/>
      <c r="M4" s="21"/>
      <c r="O4" s="19"/>
      <c r="P4" s="100" t="s">
        <v>83</v>
      </c>
      <c r="Q4" s="100" t="s">
        <v>83</v>
      </c>
      <c r="R4" s="100" t="s">
        <v>83</v>
      </c>
      <c r="S4" s="100" t="s">
        <v>30</v>
      </c>
      <c r="T4" s="100" t="s">
        <v>30</v>
      </c>
      <c r="U4" s="100" t="s">
        <v>107</v>
      </c>
      <c r="V4" s="112" t="s">
        <v>107</v>
      </c>
      <c r="W4" s="101" t="s">
        <v>109</v>
      </c>
      <c r="Z4" s="98"/>
    </row>
    <row r="5" spans="1:26" x14ac:dyDescent="0.25">
      <c r="A5" s="42" t="s">
        <v>38</v>
      </c>
      <c r="B5" s="15">
        <f>'Endelig 2014'!B9</f>
        <v>28512800</v>
      </c>
      <c r="C5" s="37"/>
      <c r="D5" s="20"/>
      <c r="E5" s="20"/>
      <c r="F5" s="20"/>
      <c r="G5" s="20"/>
      <c r="H5" s="20"/>
      <c r="I5" s="20"/>
      <c r="J5" s="20"/>
      <c r="K5" s="20"/>
      <c r="L5" s="20"/>
      <c r="M5" s="21"/>
      <c r="O5" s="19"/>
      <c r="P5" s="100"/>
      <c r="Q5" s="100"/>
      <c r="R5" s="100"/>
      <c r="S5" s="20"/>
      <c r="T5" s="100"/>
      <c r="U5" s="100"/>
      <c r="V5" s="100"/>
      <c r="W5" s="101" t="s">
        <v>110</v>
      </c>
      <c r="Z5" s="98"/>
    </row>
    <row r="6" spans="1:26" x14ac:dyDescent="0.25">
      <c r="A6" s="42" t="s">
        <v>39</v>
      </c>
      <c r="B6" s="15">
        <f>B5*0.81</f>
        <v>23095368</v>
      </c>
      <c r="C6" s="53"/>
      <c r="D6" s="43"/>
      <c r="E6" s="43"/>
      <c r="F6" s="43"/>
      <c r="G6" s="54" t="s">
        <v>34</v>
      </c>
      <c r="H6" s="110">
        <f>'Endelig 2014'!C9</f>
        <v>19095368</v>
      </c>
      <c r="I6" s="55"/>
      <c r="J6" s="54" t="s">
        <v>40</v>
      </c>
      <c r="K6" s="110">
        <f>'Endelig 2014'!C10</f>
        <v>4000000</v>
      </c>
      <c r="L6" s="55"/>
      <c r="M6" s="21"/>
      <c r="O6" s="19"/>
      <c r="P6" s="20"/>
      <c r="Q6" s="20"/>
      <c r="R6" s="20"/>
      <c r="S6" s="20"/>
      <c r="T6" s="20"/>
      <c r="U6" s="20"/>
      <c r="V6" s="20"/>
      <c r="W6" s="21"/>
    </row>
    <row r="7" spans="1:26" x14ac:dyDescent="0.25">
      <c r="A7" s="42" t="s">
        <v>41</v>
      </c>
      <c r="B7" s="15">
        <f>H6/3</f>
        <v>6365122.666666667</v>
      </c>
      <c r="C7" s="15"/>
      <c r="D7" s="56"/>
      <c r="E7" s="56"/>
      <c r="F7" s="56"/>
      <c r="G7" s="20"/>
      <c r="H7" s="20"/>
      <c r="I7" s="20"/>
      <c r="J7" s="20"/>
      <c r="K7" s="20"/>
      <c r="L7" s="20"/>
      <c r="M7" s="21"/>
      <c r="O7" s="27" t="s">
        <v>1</v>
      </c>
      <c r="P7" s="23">
        <f>V37</f>
        <v>5</v>
      </c>
      <c r="Q7" s="23">
        <f>X37</f>
        <v>5</v>
      </c>
      <c r="R7" s="23">
        <f>Z37</f>
        <v>2</v>
      </c>
      <c r="S7" s="23">
        <f>P7+Q7+R7</f>
        <v>12</v>
      </c>
      <c r="T7" s="99">
        <f>48-S7</f>
        <v>36</v>
      </c>
      <c r="U7" s="14">
        <f>T7*T37</f>
        <v>306.12217435911901</v>
      </c>
      <c r="V7" s="113">
        <f>U7*100/$U$24</f>
        <v>11.268748649355707</v>
      </c>
      <c r="W7" s="28">
        <f>$H$6*V7/100</f>
        <v>2151809.0235895021</v>
      </c>
    </row>
    <row r="8" spans="1:26" x14ac:dyDescent="0.25">
      <c r="A8" s="42" t="s">
        <v>42</v>
      </c>
      <c r="B8" s="15">
        <f>H6/3</f>
        <v>6365122.666666667</v>
      </c>
      <c r="C8" s="15"/>
      <c r="D8" s="56"/>
      <c r="E8" s="56"/>
      <c r="F8" s="56"/>
      <c r="G8" s="20"/>
      <c r="H8" s="20"/>
      <c r="I8" s="20"/>
      <c r="J8" s="20"/>
      <c r="K8" s="20"/>
      <c r="L8" s="20"/>
      <c r="M8" s="21"/>
      <c r="O8" s="27" t="s">
        <v>3</v>
      </c>
      <c r="P8" s="23">
        <f t="shared" ref="P8:P22" si="0">V38</f>
        <v>1</v>
      </c>
      <c r="Q8" s="23">
        <f t="shared" ref="Q8:Q22" si="1">X38</f>
        <v>2</v>
      </c>
      <c r="R8" s="23">
        <f t="shared" ref="R8:R22" si="2">Z38</f>
        <v>1</v>
      </c>
      <c r="S8" s="23">
        <f t="shared" ref="S8:S22" si="3">P8+Q8+R8</f>
        <v>4</v>
      </c>
      <c r="T8" s="99">
        <f t="shared" ref="T8:T22" si="4">48-S8</f>
        <v>44</v>
      </c>
      <c r="U8" s="14">
        <f t="shared" ref="U8:U22" si="5">T8*T38</f>
        <v>497.02700028539067</v>
      </c>
      <c r="V8" s="113">
        <f t="shared" ref="V8:V22" si="6">U8*100/$U$24</f>
        <v>18.296199384722787</v>
      </c>
      <c r="W8" s="28">
        <f t="shared" ref="W8:W22" si="7">$H$6*V8/100</f>
        <v>3493726.602526552</v>
      </c>
    </row>
    <row r="9" spans="1:26" x14ac:dyDescent="0.25">
      <c r="A9" s="42" t="s">
        <v>43</v>
      </c>
      <c r="B9" s="15">
        <f>H6/3</f>
        <v>6365122.666666667</v>
      </c>
      <c r="C9" s="15"/>
      <c r="D9" s="56"/>
      <c r="E9" s="56"/>
      <c r="F9" s="56"/>
      <c r="G9" s="20"/>
      <c r="H9" s="20"/>
      <c r="I9" s="20"/>
      <c r="J9" s="20"/>
      <c r="K9" s="20"/>
      <c r="L9" s="20"/>
      <c r="M9" s="21"/>
      <c r="O9" s="27" t="s">
        <v>101</v>
      </c>
      <c r="P9" s="23">
        <f t="shared" si="0"/>
        <v>8</v>
      </c>
      <c r="Q9" s="23">
        <f t="shared" si="1"/>
        <v>10</v>
      </c>
      <c r="R9" s="23">
        <f t="shared" si="2"/>
        <v>7</v>
      </c>
      <c r="S9" s="23">
        <f t="shared" si="3"/>
        <v>25</v>
      </c>
      <c r="T9" s="99">
        <f t="shared" si="4"/>
        <v>23</v>
      </c>
      <c r="U9" s="14">
        <f t="shared" si="5"/>
        <v>125.40586430071768</v>
      </c>
      <c r="V9" s="113">
        <f t="shared" si="6"/>
        <v>4.6163502102339642</v>
      </c>
      <c r="W9" s="28">
        <f t="shared" si="7"/>
        <v>881509.06081294909</v>
      </c>
    </row>
    <row r="10" spans="1:26" x14ac:dyDescent="0.25">
      <c r="A10" s="42"/>
      <c r="B10" s="15"/>
      <c r="C10" s="56"/>
      <c r="D10" s="43"/>
      <c r="E10" s="43"/>
      <c r="F10" s="43"/>
      <c r="G10" s="43">
        <f>B5*0.81-4000000</f>
        <v>19095368</v>
      </c>
      <c r="H10" s="43"/>
      <c r="I10" s="20"/>
      <c r="J10" s="43">
        <f>K6</f>
        <v>4000000</v>
      </c>
      <c r="K10" s="43"/>
      <c r="L10" s="20"/>
      <c r="M10" s="21"/>
      <c r="O10" s="27" t="s">
        <v>2</v>
      </c>
      <c r="P10" s="23">
        <f t="shared" si="0"/>
        <v>7</v>
      </c>
      <c r="Q10" s="23">
        <f t="shared" si="1"/>
        <v>4</v>
      </c>
      <c r="R10" s="23">
        <f t="shared" si="2"/>
        <v>4</v>
      </c>
      <c r="S10" s="23">
        <f t="shared" si="3"/>
        <v>15</v>
      </c>
      <c r="T10" s="99">
        <f t="shared" si="4"/>
        <v>33</v>
      </c>
      <c r="U10" s="14">
        <f t="shared" si="5"/>
        <v>230.14349906478421</v>
      </c>
      <c r="V10" s="113">
        <f t="shared" si="6"/>
        <v>8.4718764645970115</v>
      </c>
      <c r="W10" s="28">
        <f t="shared" si="7"/>
        <v>1617735.9874201892</v>
      </c>
    </row>
    <row r="11" spans="1:26" x14ac:dyDescent="0.25">
      <c r="A11" s="42"/>
      <c r="B11" s="15"/>
      <c r="C11" s="56"/>
      <c r="D11" s="43"/>
      <c r="E11" s="43"/>
      <c r="F11" s="43"/>
      <c r="G11" s="43"/>
      <c r="H11" s="43"/>
      <c r="I11" s="20"/>
      <c r="J11" s="43"/>
      <c r="K11" s="43"/>
      <c r="L11" s="20"/>
      <c r="M11" s="36" t="s">
        <v>44</v>
      </c>
      <c r="O11" s="27" t="s">
        <v>123</v>
      </c>
      <c r="P11" s="23">
        <f t="shared" si="0"/>
        <v>9</v>
      </c>
      <c r="Q11" s="23">
        <f t="shared" si="1"/>
        <v>7</v>
      </c>
      <c r="R11" s="23">
        <f t="shared" si="2"/>
        <v>8</v>
      </c>
      <c r="S11" s="23">
        <f t="shared" si="3"/>
        <v>24</v>
      </c>
      <c r="T11" s="99">
        <f t="shared" si="4"/>
        <v>24</v>
      </c>
      <c r="U11" s="14">
        <f t="shared" si="5"/>
        <v>139.33716999690361</v>
      </c>
      <c r="V11" s="113">
        <f t="shared" si="6"/>
        <v>5.1291793856320522</v>
      </c>
      <c r="W11" s="28">
        <f t="shared" si="7"/>
        <v>979435.67906657944</v>
      </c>
    </row>
    <row r="12" spans="1:26" x14ac:dyDescent="0.25">
      <c r="A12" s="42" t="s">
        <v>17</v>
      </c>
      <c r="B12" s="56"/>
      <c r="C12" s="53" t="s">
        <v>46</v>
      </c>
      <c r="D12" s="43"/>
      <c r="E12" s="53" t="s">
        <v>45</v>
      </c>
      <c r="F12" s="53" t="s">
        <v>105</v>
      </c>
      <c r="G12" s="20"/>
      <c r="H12" s="53" t="s">
        <v>45</v>
      </c>
      <c r="I12" s="53" t="s">
        <v>133</v>
      </c>
      <c r="J12" s="20"/>
      <c r="K12" s="53" t="s">
        <v>45</v>
      </c>
      <c r="L12" s="35" t="s">
        <v>47</v>
      </c>
      <c r="M12" s="57" t="s">
        <v>48</v>
      </c>
      <c r="O12" s="27" t="s">
        <v>8</v>
      </c>
      <c r="P12" s="23">
        <f t="shared" si="0"/>
        <v>4</v>
      </c>
      <c r="Q12" s="23">
        <f t="shared" si="1"/>
        <v>1</v>
      </c>
      <c r="R12" s="23">
        <f t="shared" si="2"/>
        <v>5</v>
      </c>
      <c r="S12" s="23">
        <f t="shared" si="3"/>
        <v>10</v>
      </c>
      <c r="T12" s="99">
        <f t="shared" si="4"/>
        <v>38</v>
      </c>
      <c r="U12" s="14">
        <f t="shared" si="5"/>
        <v>316.4780445454449</v>
      </c>
      <c r="V12" s="113">
        <f t="shared" si="6"/>
        <v>11.649961472044474</v>
      </c>
      <c r="W12" s="28">
        <f t="shared" si="7"/>
        <v>2224603.0149451094</v>
      </c>
    </row>
    <row r="13" spans="1:26" x14ac:dyDescent="0.25">
      <c r="A13" s="42" t="s">
        <v>31</v>
      </c>
      <c r="B13" s="43"/>
      <c r="C13" s="53" t="s">
        <v>49</v>
      </c>
      <c r="D13" s="43"/>
      <c r="E13" s="53" t="s">
        <v>50</v>
      </c>
      <c r="F13" s="53" t="s">
        <v>49</v>
      </c>
      <c r="G13" s="35"/>
      <c r="H13" s="53" t="s">
        <v>50</v>
      </c>
      <c r="I13" s="53" t="s">
        <v>51</v>
      </c>
      <c r="J13" s="58"/>
      <c r="K13" s="53" t="s">
        <v>50</v>
      </c>
      <c r="L13" s="35" t="s">
        <v>52</v>
      </c>
      <c r="M13" s="57" t="s">
        <v>50</v>
      </c>
      <c r="O13" s="27" t="s">
        <v>9</v>
      </c>
      <c r="P13" s="23">
        <f t="shared" si="0"/>
        <v>6</v>
      </c>
      <c r="Q13" s="23">
        <f t="shared" si="1"/>
        <v>7</v>
      </c>
      <c r="R13" s="23">
        <f t="shared" si="2"/>
        <v>9</v>
      </c>
      <c r="S13" s="23">
        <f t="shared" si="3"/>
        <v>22</v>
      </c>
      <c r="T13" s="99">
        <f t="shared" si="4"/>
        <v>26</v>
      </c>
      <c r="U13" s="14">
        <f t="shared" si="5"/>
        <v>164.87137162332496</v>
      </c>
      <c r="V13" s="113">
        <f t="shared" si="6"/>
        <v>6.0691259958131205</v>
      </c>
      <c r="W13" s="28">
        <f t="shared" si="7"/>
        <v>1158921.94328418</v>
      </c>
    </row>
    <row r="14" spans="1:26" x14ac:dyDescent="0.25">
      <c r="A14" s="42" t="s">
        <v>35</v>
      </c>
      <c r="B14" s="43"/>
      <c r="C14" s="53" t="s">
        <v>16</v>
      </c>
      <c r="D14" s="53" t="s">
        <v>23</v>
      </c>
      <c r="E14" s="53"/>
      <c r="F14" s="53" t="s">
        <v>16</v>
      </c>
      <c r="G14" s="53" t="s">
        <v>23</v>
      </c>
      <c r="H14" s="53"/>
      <c r="I14" s="53" t="s">
        <v>16</v>
      </c>
      <c r="J14" s="53" t="s">
        <v>23</v>
      </c>
      <c r="K14" s="53"/>
      <c r="L14" s="59" t="s">
        <v>33</v>
      </c>
      <c r="M14" s="57" t="s">
        <v>53</v>
      </c>
      <c r="O14" s="27" t="s">
        <v>124</v>
      </c>
      <c r="P14" s="23">
        <f t="shared" si="0"/>
        <v>12</v>
      </c>
      <c r="Q14" s="23">
        <f t="shared" si="1"/>
        <v>14</v>
      </c>
      <c r="R14" s="23">
        <f t="shared" si="2"/>
        <v>16</v>
      </c>
      <c r="S14" s="23">
        <f t="shared" si="3"/>
        <v>42</v>
      </c>
      <c r="T14" s="99">
        <f t="shared" si="4"/>
        <v>6</v>
      </c>
      <c r="U14" s="14">
        <f t="shared" si="5"/>
        <v>26.808539326680183</v>
      </c>
      <c r="V14" s="113">
        <f t="shared" si="6"/>
        <v>0.98685661030986827</v>
      </c>
      <c r="W14" s="28">
        <f t="shared" si="7"/>
        <v>188443.90137099527</v>
      </c>
    </row>
    <row r="15" spans="1:26" x14ac:dyDescent="0.25">
      <c r="A15" s="27" t="s">
        <v>1</v>
      </c>
      <c r="B15" s="14"/>
      <c r="C15" s="23">
        <v>9412</v>
      </c>
      <c r="D15" s="61">
        <f t="shared" ref="D15:D30" si="8">C15*100/$C$32</f>
        <v>8.4477713752311203</v>
      </c>
      <c r="E15" s="23">
        <v>12</v>
      </c>
      <c r="F15" s="23">
        <v>8828</v>
      </c>
      <c r="G15" s="61">
        <f t="shared" ref="G15:G30" si="9">F15*100/$F$32</f>
        <v>8.0855818724698203</v>
      </c>
      <c r="H15" s="62" t="s">
        <v>55</v>
      </c>
      <c r="I15" s="23">
        <v>9243</v>
      </c>
      <c r="J15" s="61">
        <f>I15*100/$I$32</f>
        <v>8.294372605149098</v>
      </c>
      <c r="K15" s="62" t="s">
        <v>55</v>
      </c>
      <c r="L15" s="61">
        <f>(D15+G15+J15)/3</f>
        <v>8.275908617616679</v>
      </c>
      <c r="M15" s="63">
        <f>(E15+H15+K15)/3</f>
        <v>12</v>
      </c>
      <c r="O15" s="27" t="s">
        <v>13</v>
      </c>
      <c r="P15" s="23">
        <f t="shared" si="0"/>
        <v>16</v>
      </c>
      <c r="Q15" s="23">
        <f t="shared" si="1"/>
        <v>13</v>
      </c>
      <c r="R15" s="23">
        <f t="shared" si="2"/>
        <v>15</v>
      </c>
      <c r="S15" s="23">
        <f t="shared" si="3"/>
        <v>44</v>
      </c>
      <c r="T15" s="99">
        <f t="shared" si="4"/>
        <v>4</v>
      </c>
      <c r="U15" s="14">
        <f t="shared" si="5"/>
        <v>16.160329831824416</v>
      </c>
      <c r="V15" s="113">
        <f t="shared" si="6"/>
        <v>0.59488240388584379</v>
      </c>
      <c r="W15" s="28">
        <f t="shared" si="7"/>
        <v>113594.98418924818</v>
      </c>
    </row>
    <row r="16" spans="1:26" x14ac:dyDescent="0.25">
      <c r="A16" s="27" t="s">
        <v>3</v>
      </c>
      <c r="B16" s="14"/>
      <c r="C16" s="23">
        <v>13394</v>
      </c>
      <c r="D16" s="61">
        <f t="shared" si="8"/>
        <v>12.021828495521209</v>
      </c>
      <c r="E16" s="23">
        <v>16</v>
      </c>
      <c r="F16" s="23">
        <v>14806</v>
      </c>
      <c r="G16" s="61">
        <v>13.561</v>
      </c>
      <c r="H16" s="62" t="s">
        <v>73</v>
      </c>
      <c r="I16" s="23">
        <v>13915</v>
      </c>
      <c r="J16" s="61">
        <f t="shared" ref="J16:J30" si="10">I16*100/$I$32</f>
        <v>12.486875992713372</v>
      </c>
      <c r="K16" s="62" t="s">
        <v>73</v>
      </c>
      <c r="L16" s="61">
        <f t="shared" ref="L16:M30" si="11">(D16+G16+J16)/3</f>
        <v>12.689901496078193</v>
      </c>
      <c r="M16" s="63">
        <f t="shared" si="11"/>
        <v>16</v>
      </c>
      <c r="O16" s="27" t="s">
        <v>5</v>
      </c>
      <c r="P16" s="23">
        <f t="shared" si="0"/>
        <v>3</v>
      </c>
      <c r="Q16" s="23">
        <f t="shared" si="1"/>
        <v>6</v>
      </c>
      <c r="R16" s="23">
        <f t="shared" si="2"/>
        <v>6</v>
      </c>
      <c r="S16" s="23">
        <f t="shared" si="3"/>
        <v>15</v>
      </c>
      <c r="T16" s="99">
        <f t="shared" si="4"/>
        <v>33</v>
      </c>
      <c r="U16" s="14">
        <f t="shared" si="5"/>
        <v>249.32398390676698</v>
      </c>
      <c r="V16" s="113">
        <f t="shared" si="6"/>
        <v>9.177934636010372</v>
      </c>
      <c r="W16" s="28">
        <f t="shared" si="7"/>
        <v>1752560.3935456411</v>
      </c>
    </row>
    <row r="17" spans="1:23" x14ac:dyDescent="0.25">
      <c r="A17" s="27" t="s">
        <v>101</v>
      </c>
      <c r="B17" s="14"/>
      <c r="C17" s="23">
        <v>5114</v>
      </c>
      <c r="D17" s="61">
        <f t="shared" si="8"/>
        <v>4.5900874216884775</v>
      </c>
      <c r="E17" s="23">
        <v>8</v>
      </c>
      <c r="F17" s="23">
        <v>5296</v>
      </c>
      <c r="G17" s="61">
        <v>4.851</v>
      </c>
      <c r="H17" s="62" t="s">
        <v>56</v>
      </c>
      <c r="I17" s="23">
        <v>7158</v>
      </c>
      <c r="J17" s="61">
        <f t="shared" si="10"/>
        <v>6.423360284286189</v>
      </c>
      <c r="K17" s="62" t="s">
        <v>68</v>
      </c>
      <c r="L17" s="61">
        <f t="shared" si="11"/>
        <v>5.2881492353248882</v>
      </c>
      <c r="M17" s="63">
        <f t="shared" si="11"/>
        <v>8.3333333333333339</v>
      </c>
      <c r="O17" s="27" t="s">
        <v>7</v>
      </c>
      <c r="P17" s="23">
        <f t="shared" si="0"/>
        <v>10</v>
      </c>
      <c r="Q17" s="23">
        <f t="shared" si="1"/>
        <v>9</v>
      </c>
      <c r="R17" s="23">
        <f t="shared" si="2"/>
        <v>10</v>
      </c>
      <c r="S17" s="23">
        <f t="shared" si="3"/>
        <v>29</v>
      </c>
      <c r="T17" s="99">
        <f t="shared" si="4"/>
        <v>19</v>
      </c>
      <c r="U17" s="14">
        <f t="shared" si="5"/>
        <v>90.439762055085708</v>
      </c>
      <c r="V17" s="113">
        <f t="shared" si="6"/>
        <v>3.3292032785273449</v>
      </c>
      <c r="W17" s="28">
        <f t="shared" si="7"/>
        <v>635723.61750286142</v>
      </c>
    </row>
    <row r="18" spans="1:23" x14ac:dyDescent="0.25">
      <c r="A18" s="27" t="s">
        <v>2</v>
      </c>
      <c r="B18" s="14"/>
      <c r="C18" s="23">
        <v>6101</v>
      </c>
      <c r="D18" s="61">
        <f t="shared" si="8"/>
        <v>5.4759724989678134</v>
      </c>
      <c r="E18" s="23">
        <v>10</v>
      </c>
      <c r="F18" s="23">
        <v>6526</v>
      </c>
      <c r="G18" s="61">
        <v>5.9770000000000003</v>
      </c>
      <c r="H18" s="62" t="s">
        <v>68</v>
      </c>
      <c r="I18" s="23">
        <v>6708</v>
      </c>
      <c r="J18" s="61">
        <f t="shared" si="10"/>
        <v>6.0195446754668556</v>
      </c>
      <c r="K18" s="62" t="s">
        <v>65</v>
      </c>
      <c r="L18" s="61">
        <f t="shared" si="11"/>
        <v>5.824172391478224</v>
      </c>
      <c r="M18" s="63">
        <f t="shared" si="11"/>
        <v>9.6666666666666661</v>
      </c>
      <c r="O18" s="27" t="s">
        <v>94</v>
      </c>
      <c r="P18" s="23">
        <f t="shared" si="0"/>
        <v>11</v>
      </c>
      <c r="Q18" s="23">
        <f t="shared" si="1"/>
        <v>10</v>
      </c>
      <c r="R18" s="23">
        <f t="shared" si="2"/>
        <v>14</v>
      </c>
      <c r="S18" s="23">
        <f t="shared" si="3"/>
        <v>35</v>
      </c>
      <c r="T18" s="99">
        <f t="shared" si="4"/>
        <v>13</v>
      </c>
      <c r="U18" s="14">
        <f t="shared" si="5"/>
        <v>66.716047800921501</v>
      </c>
      <c r="V18" s="113">
        <f t="shared" si="6"/>
        <v>2.4559030234282324</v>
      </c>
      <c r="W18" s="28">
        <f t="shared" si="7"/>
        <v>468963.72004674718</v>
      </c>
    </row>
    <row r="19" spans="1:23" x14ac:dyDescent="0.25">
      <c r="A19" s="27" t="s">
        <v>123</v>
      </c>
      <c r="B19" s="14"/>
      <c r="C19" s="23">
        <v>5777</v>
      </c>
      <c r="D19" s="61">
        <f t="shared" si="8"/>
        <v>5.1851652395569676</v>
      </c>
      <c r="E19" s="23">
        <v>9</v>
      </c>
      <c r="F19" s="23">
        <v>5482</v>
      </c>
      <c r="G19" s="61">
        <v>5.0209999999999999</v>
      </c>
      <c r="H19" s="62" t="s">
        <v>58</v>
      </c>
      <c r="I19" s="23">
        <v>5901</v>
      </c>
      <c r="J19" s="61">
        <f t="shared" si="10"/>
        <v>5.2953686836508522</v>
      </c>
      <c r="K19" s="62" t="s">
        <v>56</v>
      </c>
      <c r="L19" s="61">
        <f t="shared" si="11"/>
        <v>5.1671779744026063</v>
      </c>
      <c r="M19" s="63">
        <f t="shared" si="11"/>
        <v>8</v>
      </c>
      <c r="O19" s="27" t="s">
        <v>95</v>
      </c>
      <c r="P19" s="23">
        <f t="shared" si="0"/>
        <v>13</v>
      </c>
      <c r="Q19" s="23">
        <f t="shared" si="1"/>
        <v>15</v>
      </c>
      <c r="R19" s="23">
        <f t="shared" si="2"/>
        <v>13</v>
      </c>
      <c r="S19" s="23">
        <f t="shared" si="3"/>
        <v>41</v>
      </c>
      <c r="T19" s="99">
        <f t="shared" si="4"/>
        <v>7</v>
      </c>
      <c r="U19" s="14">
        <f t="shared" si="5"/>
        <v>31.299683512247917</v>
      </c>
      <c r="V19" s="113">
        <f t="shared" si="6"/>
        <v>1.152181370207225</v>
      </c>
      <c r="W19" s="28">
        <f t="shared" si="7"/>
        <v>220013.27266851199</v>
      </c>
    </row>
    <row r="20" spans="1:23" x14ac:dyDescent="0.25">
      <c r="A20" s="27" t="s">
        <v>8</v>
      </c>
      <c r="B20" s="14"/>
      <c r="C20" s="23">
        <v>10757</v>
      </c>
      <c r="D20" s="61">
        <f t="shared" si="8"/>
        <v>9.6549805230940464</v>
      </c>
      <c r="E20" s="23">
        <v>14</v>
      </c>
      <c r="F20" s="23">
        <v>9897</v>
      </c>
      <c r="G20" s="61">
        <f t="shared" si="9"/>
        <v>9.0646809913722048</v>
      </c>
      <c r="H20" s="62" t="s">
        <v>60</v>
      </c>
      <c r="I20" s="23">
        <v>9756</v>
      </c>
      <c r="J20" s="61">
        <f t="shared" si="10"/>
        <v>8.7547223992031373</v>
      </c>
      <c r="K20" s="62" t="s">
        <v>60</v>
      </c>
      <c r="L20" s="61">
        <f t="shared" si="11"/>
        <v>9.1581279712231307</v>
      </c>
      <c r="M20" s="63">
        <f t="shared" si="11"/>
        <v>13.333333333333334</v>
      </c>
      <c r="O20" s="27" t="s">
        <v>6</v>
      </c>
      <c r="P20" s="23">
        <f t="shared" si="0"/>
        <v>2</v>
      </c>
      <c r="Q20" s="23">
        <f t="shared" si="1"/>
        <v>2</v>
      </c>
      <c r="R20" s="23">
        <f t="shared" si="2"/>
        <v>3</v>
      </c>
      <c r="S20" s="23">
        <f t="shared" si="3"/>
        <v>7</v>
      </c>
      <c r="T20" s="99">
        <f t="shared" si="4"/>
        <v>41</v>
      </c>
      <c r="U20" s="14">
        <f t="shared" si="5"/>
        <v>378.08720333883156</v>
      </c>
      <c r="V20" s="113">
        <f t="shared" si="6"/>
        <v>13.917873381380604</v>
      </c>
      <c r="W20" s="28">
        <f t="shared" si="7"/>
        <v>2657669.1399486698</v>
      </c>
    </row>
    <row r="21" spans="1:23" x14ac:dyDescent="0.25">
      <c r="A21" s="27" t="s">
        <v>9</v>
      </c>
      <c r="B21" s="14"/>
      <c r="C21" s="23">
        <v>9184</v>
      </c>
      <c r="D21" s="61">
        <f t="shared" si="8"/>
        <v>8.2431292297197842</v>
      </c>
      <c r="E21" s="23">
        <v>11</v>
      </c>
      <c r="F21" s="23">
        <v>8192</v>
      </c>
      <c r="G21" s="61">
        <f t="shared" si="9"/>
        <v>7.5030682713267751</v>
      </c>
      <c r="H21" s="62" t="s">
        <v>54</v>
      </c>
      <c r="I21" s="23">
        <v>7602</v>
      </c>
      <c r="J21" s="61">
        <f t="shared" si="10"/>
        <v>6.8217916849879305</v>
      </c>
      <c r="K21" s="62" t="s">
        <v>54</v>
      </c>
      <c r="L21" s="61">
        <f t="shared" si="11"/>
        <v>7.522663062011496</v>
      </c>
      <c r="M21" s="63">
        <f t="shared" si="11"/>
        <v>11</v>
      </c>
      <c r="O21" s="123" t="s">
        <v>10</v>
      </c>
      <c r="P21" s="23">
        <f t="shared" si="0"/>
        <v>13</v>
      </c>
      <c r="Q21" s="23">
        <f t="shared" si="1"/>
        <v>16</v>
      </c>
      <c r="R21" s="23">
        <f t="shared" si="2"/>
        <v>12</v>
      </c>
      <c r="S21" s="23">
        <f t="shared" si="3"/>
        <v>41</v>
      </c>
      <c r="T21" s="99">
        <f t="shared" si="4"/>
        <v>7</v>
      </c>
      <c r="U21" s="14">
        <f t="shared" si="5"/>
        <v>24.636029430101452</v>
      </c>
      <c r="V21" s="113">
        <f t="shared" si="6"/>
        <v>0.90688374322163279</v>
      </c>
      <c r="W21" s="28">
        <f t="shared" si="7"/>
        <v>173172.78810034585</v>
      </c>
    </row>
    <row r="22" spans="1:23" x14ac:dyDescent="0.25">
      <c r="A22" s="27" t="s">
        <v>124</v>
      </c>
      <c r="B22" s="14"/>
      <c r="C22" s="65">
        <v>5055</v>
      </c>
      <c r="D22" s="61">
        <f t="shared" si="8"/>
        <v>4.5371317787710703</v>
      </c>
      <c r="E22" s="65">
        <v>1</v>
      </c>
      <c r="F22" s="23">
        <v>3690</v>
      </c>
      <c r="G22" s="61">
        <f t="shared" si="9"/>
        <v>3.3796779688959719</v>
      </c>
      <c r="H22" s="62" t="s">
        <v>59</v>
      </c>
      <c r="I22" s="23">
        <v>3946</v>
      </c>
      <c r="J22" s="61">
        <f t="shared" si="10"/>
        <v>3.5410142053357503</v>
      </c>
      <c r="K22" s="62" t="s">
        <v>59</v>
      </c>
      <c r="L22" s="61">
        <f t="shared" si="11"/>
        <v>3.819274651000931</v>
      </c>
      <c r="M22" s="63">
        <f t="shared" si="11"/>
        <v>3.6666666666666665</v>
      </c>
      <c r="O22" s="123" t="s">
        <v>11</v>
      </c>
      <c r="P22" s="23">
        <f t="shared" si="0"/>
        <v>15</v>
      </c>
      <c r="Q22" s="23">
        <f t="shared" si="1"/>
        <v>10</v>
      </c>
      <c r="R22" s="23">
        <f t="shared" si="2"/>
        <v>10</v>
      </c>
      <c r="S22" s="23">
        <f t="shared" si="3"/>
        <v>35</v>
      </c>
      <c r="T22" s="99">
        <f t="shared" si="4"/>
        <v>13</v>
      </c>
      <c r="U22" s="14">
        <f t="shared" si="5"/>
        <v>53.702019196802631</v>
      </c>
      <c r="V22" s="113">
        <f t="shared" si="6"/>
        <v>1.9768399906297642</v>
      </c>
      <c r="W22" s="28">
        <f t="shared" si="7"/>
        <v>377484.870981919</v>
      </c>
    </row>
    <row r="23" spans="1:23" x14ac:dyDescent="0.25">
      <c r="A23" s="27" t="s">
        <v>13</v>
      </c>
      <c r="B23" s="14"/>
      <c r="C23" s="23">
        <v>2939</v>
      </c>
      <c r="D23" s="61">
        <f t="shared" si="8"/>
        <v>2.6379090599027051</v>
      </c>
      <c r="E23" s="23">
        <v>3</v>
      </c>
      <c r="F23" s="65">
        <v>3582</v>
      </c>
      <c r="G23" s="61">
        <f t="shared" si="9"/>
        <v>3.2807605649282849</v>
      </c>
      <c r="H23" s="64" t="s">
        <v>64</v>
      </c>
      <c r="I23" s="78">
        <v>3834</v>
      </c>
      <c r="J23" s="61">
        <f t="shared" si="10"/>
        <v>3.4405089871407162</v>
      </c>
      <c r="K23" s="62" t="s">
        <v>63</v>
      </c>
      <c r="L23" s="61">
        <f t="shared" si="11"/>
        <v>3.1197262039905689</v>
      </c>
      <c r="M23" s="63">
        <f t="shared" si="11"/>
        <v>2.6666666666666665</v>
      </c>
      <c r="O23" s="60"/>
      <c r="P23" s="20"/>
      <c r="Q23" s="20"/>
      <c r="R23" s="20"/>
      <c r="S23" s="20"/>
      <c r="T23" s="20"/>
      <c r="U23" s="20"/>
      <c r="V23" s="22"/>
      <c r="W23" s="31"/>
    </row>
    <row r="24" spans="1:23" x14ac:dyDescent="0.25">
      <c r="A24" s="27" t="s">
        <v>5</v>
      </c>
      <c r="B24" s="14"/>
      <c r="C24" s="23">
        <v>9875</v>
      </c>
      <c r="D24" s="61">
        <f t="shared" si="8"/>
        <v>8.8633385391422976</v>
      </c>
      <c r="E24" s="23">
        <v>13</v>
      </c>
      <c r="F24" s="79">
        <v>10284</v>
      </c>
      <c r="G24" s="61">
        <f t="shared" si="9"/>
        <v>9.4191350222564161</v>
      </c>
      <c r="H24" s="80" t="s">
        <v>62</v>
      </c>
      <c r="I24" s="23">
        <v>10014</v>
      </c>
      <c r="J24" s="61">
        <f t="shared" si="10"/>
        <v>8.9862433482595545</v>
      </c>
      <c r="K24" s="62" t="s">
        <v>62</v>
      </c>
      <c r="L24" s="61">
        <f t="shared" si="11"/>
        <v>9.0895723032194216</v>
      </c>
      <c r="M24" s="63">
        <f t="shared" si="11"/>
        <v>13.666666666666666</v>
      </c>
      <c r="O24" s="102" t="s">
        <v>14</v>
      </c>
      <c r="P24" s="20"/>
      <c r="Q24" s="20"/>
      <c r="R24" s="20"/>
      <c r="S24" s="20"/>
      <c r="T24" s="20"/>
      <c r="U24" s="14">
        <f>SUM(U7:U22)</f>
        <v>2716.5587225749473</v>
      </c>
      <c r="V24" s="14">
        <f>SUM(V7:V22)</f>
        <v>100.00000000000001</v>
      </c>
      <c r="W24" s="28">
        <f>SUM(W7:W22)</f>
        <v>19095368.000000004</v>
      </c>
    </row>
    <row r="25" spans="1:23" ht="15.75" thickBot="1" x14ac:dyDescent="0.3">
      <c r="A25" s="27" t="s">
        <v>7</v>
      </c>
      <c r="B25" s="14"/>
      <c r="C25" s="79">
        <v>4532</v>
      </c>
      <c r="D25" s="61">
        <f t="shared" si="8"/>
        <v>4.0677114186726984</v>
      </c>
      <c r="E25" s="79">
        <v>7</v>
      </c>
      <c r="F25" s="23">
        <v>5069</v>
      </c>
      <c r="G25" s="61">
        <f t="shared" si="9"/>
        <v>4.6427066732611602</v>
      </c>
      <c r="H25" s="111" t="s">
        <v>57</v>
      </c>
      <c r="I25" s="23">
        <v>5579</v>
      </c>
      <c r="J25" s="61">
        <f t="shared" si="10"/>
        <v>5.0064161813401293</v>
      </c>
      <c r="K25" s="62" t="s">
        <v>57</v>
      </c>
      <c r="L25" s="61">
        <f t="shared" si="11"/>
        <v>4.5722780910913299</v>
      </c>
      <c r="M25" s="63">
        <f t="shared" si="11"/>
        <v>6.333333333333333</v>
      </c>
      <c r="O25" s="24"/>
      <c r="P25" s="26"/>
      <c r="Q25" s="26"/>
      <c r="R25" s="26"/>
      <c r="S25" s="26"/>
      <c r="T25" s="26"/>
      <c r="U25" s="26"/>
      <c r="V25" s="26"/>
      <c r="W25" s="103"/>
    </row>
    <row r="26" spans="1:23" x14ac:dyDescent="0.25">
      <c r="A26" s="27" t="s">
        <v>94</v>
      </c>
      <c r="B26" s="14"/>
      <c r="C26" s="65">
        <v>5055</v>
      </c>
      <c r="D26" s="61">
        <f t="shared" si="8"/>
        <v>4.5371317787710703</v>
      </c>
      <c r="E26" s="65">
        <v>1</v>
      </c>
      <c r="F26" s="23">
        <v>6183</v>
      </c>
      <c r="G26" s="61">
        <f t="shared" si="9"/>
        <v>5.6630213771500797</v>
      </c>
      <c r="H26" s="62" t="s">
        <v>65</v>
      </c>
      <c r="I26" s="23">
        <v>6029</v>
      </c>
      <c r="J26" s="61">
        <f t="shared" si="10"/>
        <v>5.4102317901594619</v>
      </c>
      <c r="K26" s="62" t="s">
        <v>58</v>
      </c>
      <c r="L26" s="61">
        <f t="shared" si="11"/>
        <v>5.203461648693537</v>
      </c>
      <c r="M26" s="63">
        <f t="shared" si="11"/>
        <v>6</v>
      </c>
    </row>
    <row r="27" spans="1:23" x14ac:dyDescent="0.25">
      <c r="A27" s="27" t="s">
        <v>95</v>
      </c>
      <c r="B27" s="14"/>
      <c r="C27" s="23">
        <v>4208</v>
      </c>
      <c r="D27" s="61">
        <f t="shared" si="8"/>
        <v>3.7769041592618522</v>
      </c>
      <c r="E27" s="79">
        <v>6</v>
      </c>
      <c r="F27" s="65">
        <v>3582</v>
      </c>
      <c r="G27" s="61">
        <f t="shared" si="9"/>
        <v>3.2807605649282849</v>
      </c>
      <c r="H27" s="64" t="s">
        <v>64</v>
      </c>
      <c r="I27" s="23">
        <v>3382</v>
      </c>
      <c r="J27" s="61">
        <f t="shared" si="10"/>
        <v>3.0348986422821862</v>
      </c>
      <c r="K27" s="62" t="s">
        <v>66</v>
      </c>
      <c r="L27" s="61">
        <f t="shared" si="11"/>
        <v>3.3641877888241076</v>
      </c>
      <c r="M27" s="63">
        <f t="shared" si="11"/>
        <v>3.3333333333333335</v>
      </c>
    </row>
    <row r="28" spans="1:23" x14ac:dyDescent="0.25">
      <c r="A28" s="27" t="s">
        <v>6</v>
      </c>
      <c r="B28" s="14"/>
      <c r="C28" s="23">
        <v>12435</v>
      </c>
      <c r="D28" s="61">
        <f t="shared" si="8"/>
        <v>11.161074909795897</v>
      </c>
      <c r="E28" s="78">
        <v>15</v>
      </c>
      <c r="F28" s="23">
        <v>11313</v>
      </c>
      <c r="G28" s="61">
        <f t="shared" si="9"/>
        <v>10.361598065615212</v>
      </c>
      <c r="H28" s="80" t="s">
        <v>61</v>
      </c>
      <c r="I28" s="23">
        <v>11985</v>
      </c>
      <c r="J28" s="61">
        <f t="shared" si="10"/>
        <v>10.754955714888233</v>
      </c>
      <c r="K28" s="62" t="s">
        <v>61</v>
      </c>
      <c r="L28" s="61">
        <f t="shared" si="11"/>
        <v>10.759209563433112</v>
      </c>
      <c r="M28" s="63">
        <f t="shared" si="11"/>
        <v>15</v>
      </c>
    </row>
    <row r="29" spans="1:23" x14ac:dyDescent="0.25">
      <c r="A29" s="123" t="s">
        <v>10</v>
      </c>
      <c r="B29" s="14"/>
      <c r="C29" s="23">
        <v>3659</v>
      </c>
      <c r="D29" s="61">
        <f t="shared" si="8"/>
        <v>3.2841474141490297</v>
      </c>
      <c r="E29" s="78">
        <v>4</v>
      </c>
      <c r="F29" s="23">
        <v>3380</v>
      </c>
      <c r="G29" s="61">
        <f t="shared" si="9"/>
        <v>3.0957483834331665</v>
      </c>
      <c r="H29" s="80" t="s">
        <v>63</v>
      </c>
      <c r="I29" s="23">
        <v>3348</v>
      </c>
      <c r="J29" s="61">
        <f t="shared" si="10"/>
        <v>3.0043881296158368</v>
      </c>
      <c r="K29" s="62" t="s">
        <v>67</v>
      </c>
      <c r="L29" s="61">
        <f t="shared" si="11"/>
        <v>3.1280946423993448</v>
      </c>
      <c r="M29" s="63">
        <f t="shared" si="11"/>
        <v>3.3333333333333335</v>
      </c>
    </row>
    <row r="30" spans="1:23" x14ac:dyDescent="0.25">
      <c r="A30" s="123" t="s">
        <v>11</v>
      </c>
      <c r="B30" s="14"/>
      <c r="C30" s="23">
        <v>3917</v>
      </c>
      <c r="D30" s="61">
        <f t="shared" si="8"/>
        <v>3.5157161577539626</v>
      </c>
      <c r="E30" s="79">
        <v>5</v>
      </c>
      <c r="F30" s="23">
        <v>3072</v>
      </c>
      <c r="G30" s="61">
        <f t="shared" si="9"/>
        <v>2.8136506017475407</v>
      </c>
      <c r="H30" s="111" t="s">
        <v>66</v>
      </c>
      <c r="I30" s="23">
        <v>3037</v>
      </c>
      <c r="J30" s="61">
        <f t="shared" si="10"/>
        <v>2.7253066755206978</v>
      </c>
      <c r="K30" s="62" t="s">
        <v>64</v>
      </c>
      <c r="L30" s="61">
        <f t="shared" si="11"/>
        <v>3.0182244783407342</v>
      </c>
      <c r="M30" s="63">
        <f t="shared" si="11"/>
        <v>3</v>
      </c>
    </row>
    <row r="31" spans="1:23" x14ac:dyDescent="0.25">
      <c r="A31" s="19"/>
      <c r="B31" s="20"/>
      <c r="C31" s="43"/>
      <c r="D31" s="66"/>
      <c r="E31" s="43"/>
      <c r="F31" s="43"/>
      <c r="G31" s="22"/>
      <c r="H31" s="22"/>
      <c r="I31" s="20"/>
      <c r="J31" s="20"/>
      <c r="K31" s="20"/>
      <c r="L31" s="22"/>
      <c r="M31" s="67"/>
    </row>
    <row r="32" spans="1:23" ht="16.5" thickBot="1" x14ac:dyDescent="0.3">
      <c r="A32" s="24" t="s">
        <v>16</v>
      </c>
      <c r="B32" s="68"/>
      <c r="C32" s="25">
        <f t="shared" ref="C32:M32" si="12">SUM(C15:C30)</f>
        <v>111414</v>
      </c>
      <c r="D32" s="69">
        <f>SUM(D15:D30)</f>
        <v>99.999999999999986</v>
      </c>
      <c r="E32" s="25"/>
      <c r="F32" s="25">
        <f t="shared" si="12"/>
        <v>109182</v>
      </c>
      <c r="G32" s="69">
        <f t="shared" si="12"/>
        <v>100.0003903573849</v>
      </c>
      <c r="H32" s="69"/>
      <c r="I32" s="25">
        <f t="shared" si="12"/>
        <v>111437</v>
      </c>
      <c r="J32" s="69">
        <f t="shared" si="12"/>
        <v>99.999999999999986</v>
      </c>
      <c r="K32" s="69"/>
      <c r="L32" s="69">
        <f t="shared" si="12"/>
        <v>100.0001301191283</v>
      </c>
      <c r="M32" s="70">
        <f t="shared" si="12"/>
        <v>135.33333333333334</v>
      </c>
      <c r="O32" s="2" t="s">
        <v>146</v>
      </c>
    </row>
    <row r="33" spans="1:27" ht="15.75" thickBot="1" x14ac:dyDescent="0.3">
      <c r="A33" s="71"/>
      <c r="B33" s="51"/>
      <c r="C33" s="51"/>
      <c r="D33" s="51"/>
      <c r="E33" s="51"/>
      <c r="F33" s="51"/>
      <c r="G33" s="20"/>
      <c r="H33" s="20"/>
      <c r="I33" s="16"/>
      <c r="J33" s="16"/>
      <c r="K33" s="16"/>
      <c r="L33" s="16"/>
      <c r="M33" s="51"/>
    </row>
    <row r="34" spans="1:27" ht="15.75" thickTop="1" x14ac:dyDescent="0.25">
      <c r="A34" s="52" t="s">
        <v>17</v>
      </c>
      <c r="B34" s="51"/>
      <c r="C34" s="44">
        <v>2012</v>
      </c>
      <c r="D34" s="51"/>
      <c r="E34" s="72" t="s">
        <v>45</v>
      </c>
      <c r="F34" s="44">
        <v>2013</v>
      </c>
      <c r="G34" s="51"/>
      <c r="H34" s="72" t="s">
        <v>45</v>
      </c>
      <c r="I34" s="44">
        <v>2014</v>
      </c>
      <c r="J34" s="51"/>
      <c r="K34" s="72" t="s">
        <v>45</v>
      </c>
      <c r="L34" s="44" t="s">
        <v>47</v>
      </c>
      <c r="M34" s="73" t="s">
        <v>48</v>
      </c>
      <c r="O34" s="136" t="s">
        <v>35</v>
      </c>
      <c r="P34" s="90"/>
      <c r="Q34" s="90" t="s">
        <v>31</v>
      </c>
      <c r="R34" s="90" t="s">
        <v>135</v>
      </c>
      <c r="S34" s="90" t="s">
        <v>136</v>
      </c>
      <c r="T34" s="140" t="s">
        <v>16</v>
      </c>
      <c r="U34" s="90" t="s">
        <v>31</v>
      </c>
      <c r="V34" s="90"/>
      <c r="W34" s="90" t="s">
        <v>75</v>
      </c>
      <c r="X34" s="90"/>
      <c r="Y34" s="90" t="s">
        <v>32</v>
      </c>
      <c r="Z34" s="90"/>
      <c r="AA34" s="91" t="s">
        <v>16</v>
      </c>
    </row>
    <row r="35" spans="1:27" x14ac:dyDescent="0.25">
      <c r="A35" s="42" t="s">
        <v>69</v>
      </c>
      <c r="B35" s="20"/>
      <c r="C35" s="35" t="s">
        <v>14</v>
      </c>
      <c r="D35" s="35" t="s">
        <v>23</v>
      </c>
      <c r="E35" s="53" t="s">
        <v>50</v>
      </c>
      <c r="F35" s="35" t="s">
        <v>14</v>
      </c>
      <c r="G35" s="35" t="s">
        <v>23</v>
      </c>
      <c r="H35" s="53" t="s">
        <v>50</v>
      </c>
      <c r="I35" s="35" t="s">
        <v>14</v>
      </c>
      <c r="J35" s="35" t="s">
        <v>23</v>
      </c>
      <c r="K35" s="53" t="s">
        <v>50</v>
      </c>
      <c r="L35" s="35" t="s">
        <v>52</v>
      </c>
      <c r="M35" s="57" t="s">
        <v>50</v>
      </c>
      <c r="O35" s="137"/>
      <c r="P35" s="81" t="s">
        <v>33</v>
      </c>
      <c r="Q35" s="81" t="s">
        <v>74</v>
      </c>
      <c r="R35" s="81" t="s">
        <v>74</v>
      </c>
      <c r="S35" s="81" t="s">
        <v>74</v>
      </c>
      <c r="T35" s="82" t="s">
        <v>74</v>
      </c>
      <c r="U35" s="81" t="s">
        <v>76</v>
      </c>
      <c r="V35" s="81"/>
      <c r="W35" s="81" t="s">
        <v>76</v>
      </c>
      <c r="X35" s="81"/>
      <c r="Y35" s="81" t="s">
        <v>76</v>
      </c>
      <c r="Z35" s="81"/>
      <c r="AA35" s="82" t="s">
        <v>138</v>
      </c>
    </row>
    <row r="36" spans="1:27" x14ac:dyDescent="0.25">
      <c r="A36" s="42" t="s">
        <v>35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59" t="s">
        <v>33</v>
      </c>
      <c r="M36" s="57" t="s">
        <v>70</v>
      </c>
      <c r="O36" s="138"/>
      <c r="P36" s="87"/>
      <c r="Q36" s="88"/>
      <c r="R36" s="88"/>
      <c r="S36" s="88"/>
      <c r="T36" s="141" t="s">
        <v>33</v>
      </c>
      <c r="U36" s="139" t="s">
        <v>74</v>
      </c>
      <c r="V36" s="139" t="s">
        <v>30</v>
      </c>
      <c r="W36" s="139" t="s">
        <v>74</v>
      </c>
      <c r="X36" s="139" t="s">
        <v>85</v>
      </c>
      <c r="Y36" s="139" t="s">
        <v>74</v>
      </c>
      <c r="Z36" s="139" t="s">
        <v>85</v>
      </c>
      <c r="AA36" s="142" t="s">
        <v>139</v>
      </c>
    </row>
    <row r="37" spans="1:27" x14ac:dyDescent="0.25">
      <c r="A37" s="27" t="s">
        <v>1</v>
      </c>
      <c r="B37" s="20"/>
      <c r="C37" s="22">
        <v>18</v>
      </c>
      <c r="D37" s="61">
        <f t="shared" ref="D37:D52" si="13">C37*100/$C$54</f>
        <v>9.5744680851063837</v>
      </c>
      <c r="E37" s="62" t="s">
        <v>60</v>
      </c>
      <c r="F37" s="22">
        <v>22</v>
      </c>
      <c r="G37" s="61">
        <f>F37*100/$F$54</f>
        <v>8.4615384615384617</v>
      </c>
      <c r="H37" s="23">
        <v>15</v>
      </c>
      <c r="I37" s="22">
        <v>16</v>
      </c>
      <c r="J37" s="61">
        <f>I37*100/$I$54</f>
        <v>6.0606060606060606</v>
      </c>
      <c r="K37" s="23">
        <v>7</v>
      </c>
      <c r="L37" s="61">
        <f>(D37+G37+J37)/3</f>
        <v>8.0322042024169686</v>
      </c>
      <c r="M37" s="63">
        <f t="shared" ref="M37:M52" si="14">(E37+H37+K37)/3</f>
        <v>11.666666666666666</v>
      </c>
      <c r="O37" s="27" t="s">
        <v>1</v>
      </c>
      <c r="P37" s="20"/>
      <c r="Q37" s="83">
        <f>L15</f>
        <v>8.275908617616679</v>
      </c>
      <c r="R37" s="83">
        <f>L37</f>
        <v>8.0322042024169686</v>
      </c>
      <c r="S37" s="83">
        <f>L59</f>
        <v>9.2020683765596019</v>
      </c>
      <c r="T37" s="85">
        <f>SUM((Q37+R37+S37)/3)</f>
        <v>8.5033937321977504</v>
      </c>
      <c r="U37" s="83">
        <f>M15</f>
        <v>12</v>
      </c>
      <c r="V37" s="23">
        <v>5</v>
      </c>
      <c r="W37" s="83">
        <f>M37</f>
        <v>11.666666666666666</v>
      </c>
      <c r="X37" s="23">
        <v>5</v>
      </c>
      <c r="Y37" s="83">
        <f>M59</f>
        <v>15</v>
      </c>
      <c r="Z37" s="23">
        <v>2</v>
      </c>
      <c r="AA37" s="85">
        <f t="shared" ref="AA37:AA52" si="15">SUM((U37+W37+Y37)/3)</f>
        <v>12.888888888888888</v>
      </c>
    </row>
    <row r="38" spans="1:27" x14ac:dyDescent="0.25">
      <c r="A38" s="27" t="s">
        <v>3</v>
      </c>
      <c r="B38" s="20"/>
      <c r="C38" s="22">
        <v>27</v>
      </c>
      <c r="D38" s="61">
        <f t="shared" si="13"/>
        <v>14.361702127659575</v>
      </c>
      <c r="E38" s="62" t="s">
        <v>73</v>
      </c>
      <c r="F38" s="22">
        <v>21</v>
      </c>
      <c r="G38" s="61">
        <f t="shared" ref="G38:G52" si="16">F38*100/$F$54</f>
        <v>8.0769230769230766</v>
      </c>
      <c r="H38" s="23">
        <v>13</v>
      </c>
      <c r="I38" s="22">
        <v>19</v>
      </c>
      <c r="J38" s="61">
        <f t="shared" ref="J38:J52" si="17">I38*100/$I$54</f>
        <v>7.1969696969696972</v>
      </c>
      <c r="K38" s="23">
        <v>10</v>
      </c>
      <c r="L38" s="61">
        <f t="shared" ref="L38:L52" si="18">(D38+G38+J38)/3</f>
        <v>9.8785316338507823</v>
      </c>
      <c r="M38" s="63">
        <f t="shared" si="14"/>
        <v>13</v>
      </c>
      <c r="O38" s="27" t="s">
        <v>3</v>
      </c>
      <c r="P38" s="20"/>
      <c r="Q38" s="83">
        <f t="shared" ref="Q38:Q52" si="19">L16</f>
        <v>12.689901496078193</v>
      </c>
      <c r="R38" s="83">
        <f t="shared" ref="R38:R52" si="20">L38</f>
        <v>9.8785316338507823</v>
      </c>
      <c r="S38" s="83">
        <f t="shared" ref="S38:S52" si="21">L60</f>
        <v>11.319771434984029</v>
      </c>
      <c r="T38" s="85">
        <f t="shared" ref="T38:T54" si="22">SUM((Q38+R38+S38)/3)</f>
        <v>11.296068188304334</v>
      </c>
      <c r="U38" s="83">
        <f t="shared" ref="U38:U52" si="23">M16</f>
        <v>16</v>
      </c>
      <c r="V38" s="23">
        <v>1</v>
      </c>
      <c r="W38" s="83">
        <f t="shared" ref="W38:W52" si="24">M38</f>
        <v>13</v>
      </c>
      <c r="X38" s="23">
        <v>2</v>
      </c>
      <c r="Y38" s="83">
        <f t="shared" ref="Y38:Y52" si="25">M60</f>
        <v>16</v>
      </c>
      <c r="Z38" s="23">
        <v>1</v>
      </c>
      <c r="AA38" s="85">
        <f t="shared" si="15"/>
        <v>15</v>
      </c>
    </row>
    <row r="39" spans="1:27" x14ac:dyDescent="0.25">
      <c r="A39" s="27" t="s">
        <v>101</v>
      </c>
      <c r="B39" s="20"/>
      <c r="C39" s="22">
        <v>7</v>
      </c>
      <c r="D39" s="61">
        <f t="shared" si="13"/>
        <v>3.7234042553191489</v>
      </c>
      <c r="E39" s="62" t="s">
        <v>57</v>
      </c>
      <c r="F39" s="22">
        <v>14</v>
      </c>
      <c r="G39" s="61">
        <f t="shared" si="16"/>
        <v>5.384615384615385</v>
      </c>
      <c r="H39" s="23">
        <v>5</v>
      </c>
      <c r="I39" s="22">
        <v>14</v>
      </c>
      <c r="J39" s="61">
        <f t="shared" si="17"/>
        <v>5.3030303030303028</v>
      </c>
      <c r="K39" s="23">
        <v>4</v>
      </c>
      <c r="L39" s="61">
        <f t="shared" si="18"/>
        <v>4.8036833143216127</v>
      </c>
      <c r="M39" s="63">
        <f t="shared" si="14"/>
        <v>5</v>
      </c>
      <c r="O39" s="27" t="s">
        <v>101</v>
      </c>
      <c r="P39" s="20"/>
      <c r="Q39" s="83">
        <f t="shared" si="19"/>
        <v>5.2881492353248882</v>
      </c>
      <c r="R39" s="83">
        <f t="shared" si="20"/>
        <v>4.8036833143216127</v>
      </c>
      <c r="S39" s="83">
        <f t="shared" si="21"/>
        <v>6.2654540982731959</v>
      </c>
      <c r="T39" s="85">
        <f t="shared" si="22"/>
        <v>5.4524288826398992</v>
      </c>
      <c r="U39" s="83">
        <f t="shared" si="23"/>
        <v>8.3333333333333339</v>
      </c>
      <c r="V39" s="23">
        <v>8</v>
      </c>
      <c r="W39" s="83">
        <f t="shared" si="24"/>
        <v>5</v>
      </c>
      <c r="X39" s="23">
        <v>10</v>
      </c>
      <c r="Y39" s="83">
        <f t="shared" si="25"/>
        <v>9.3333333333333339</v>
      </c>
      <c r="Z39" s="23">
        <v>7</v>
      </c>
      <c r="AA39" s="85">
        <f t="shared" si="15"/>
        <v>7.5555555555555562</v>
      </c>
    </row>
    <row r="40" spans="1:27" x14ac:dyDescent="0.25">
      <c r="A40" s="27" t="s">
        <v>2</v>
      </c>
      <c r="B40" s="20"/>
      <c r="C40" s="22">
        <v>12</v>
      </c>
      <c r="D40" s="61">
        <f t="shared" si="13"/>
        <v>6.3829787234042552</v>
      </c>
      <c r="E40" s="62" t="s">
        <v>54</v>
      </c>
      <c r="F40" s="22">
        <v>19</v>
      </c>
      <c r="G40" s="61">
        <f t="shared" si="16"/>
        <v>7.3076923076923075</v>
      </c>
      <c r="H40" s="23">
        <v>10</v>
      </c>
      <c r="I40" s="22">
        <v>23</v>
      </c>
      <c r="J40" s="61">
        <f t="shared" si="17"/>
        <v>8.7121212121212128</v>
      </c>
      <c r="K40" s="23">
        <v>16</v>
      </c>
      <c r="L40" s="61">
        <f t="shared" si="18"/>
        <v>7.4675974144059252</v>
      </c>
      <c r="M40" s="63">
        <f t="shared" si="14"/>
        <v>12.333333333333334</v>
      </c>
      <c r="O40" s="27" t="s">
        <v>144</v>
      </c>
      <c r="P40" s="20"/>
      <c r="Q40" s="83">
        <f t="shared" si="19"/>
        <v>5.824172391478224</v>
      </c>
      <c r="R40" s="83">
        <f t="shared" si="20"/>
        <v>7.4675974144059252</v>
      </c>
      <c r="S40" s="83">
        <f t="shared" si="21"/>
        <v>7.6303664727325966</v>
      </c>
      <c r="T40" s="85">
        <f t="shared" si="22"/>
        <v>6.9740454262055822</v>
      </c>
      <c r="U40" s="83">
        <f t="shared" si="23"/>
        <v>9.6666666666666661</v>
      </c>
      <c r="V40" s="23">
        <v>7</v>
      </c>
      <c r="W40" s="83">
        <f t="shared" si="24"/>
        <v>12.333333333333334</v>
      </c>
      <c r="X40" s="23">
        <v>4</v>
      </c>
      <c r="Y40" s="83">
        <f t="shared" si="25"/>
        <v>12.666666666666666</v>
      </c>
      <c r="Z40" s="23">
        <v>4</v>
      </c>
      <c r="AA40" s="85">
        <f t="shared" si="15"/>
        <v>11.555555555555555</v>
      </c>
    </row>
    <row r="41" spans="1:27" x14ac:dyDescent="0.25">
      <c r="A41" s="27" t="s">
        <v>123</v>
      </c>
      <c r="B41" s="20"/>
      <c r="C41" s="22">
        <v>12</v>
      </c>
      <c r="D41" s="61">
        <f t="shared" si="13"/>
        <v>6.3829787234042552</v>
      </c>
      <c r="E41" s="62" t="s">
        <v>54</v>
      </c>
      <c r="F41" s="22">
        <v>17</v>
      </c>
      <c r="G41" s="61">
        <f t="shared" si="16"/>
        <v>6.5384615384615383</v>
      </c>
      <c r="H41" s="23">
        <v>8</v>
      </c>
      <c r="I41" s="22">
        <v>17</v>
      </c>
      <c r="J41" s="61">
        <f t="shared" si="17"/>
        <v>6.4393939393939394</v>
      </c>
      <c r="K41" s="23">
        <v>8</v>
      </c>
      <c r="L41" s="61">
        <f t="shared" si="18"/>
        <v>6.4536114004199119</v>
      </c>
      <c r="M41" s="63">
        <f t="shared" si="14"/>
        <v>9</v>
      </c>
      <c r="O41" s="27" t="s">
        <v>123</v>
      </c>
      <c r="P41" s="20"/>
      <c r="Q41" s="83">
        <f t="shared" si="19"/>
        <v>5.1671779744026063</v>
      </c>
      <c r="R41" s="83">
        <f t="shared" si="20"/>
        <v>6.4536114004199119</v>
      </c>
      <c r="S41" s="83">
        <f t="shared" si="21"/>
        <v>5.7963568747904333</v>
      </c>
      <c r="T41" s="85">
        <f t="shared" si="22"/>
        <v>5.8057154165376508</v>
      </c>
      <c r="U41" s="83">
        <f t="shared" si="23"/>
        <v>8</v>
      </c>
      <c r="V41" s="23">
        <v>9</v>
      </c>
      <c r="W41" s="83">
        <f t="shared" si="24"/>
        <v>9</v>
      </c>
      <c r="X41" s="23">
        <v>7</v>
      </c>
      <c r="Y41" s="83">
        <f t="shared" si="25"/>
        <v>9</v>
      </c>
      <c r="Z41" s="23">
        <v>8</v>
      </c>
      <c r="AA41" s="85">
        <f t="shared" si="15"/>
        <v>8.6666666666666661</v>
      </c>
    </row>
    <row r="42" spans="1:27" x14ac:dyDescent="0.25">
      <c r="A42" s="27" t="s">
        <v>8</v>
      </c>
      <c r="B42" s="20"/>
      <c r="C42" s="22">
        <v>19</v>
      </c>
      <c r="D42" s="61">
        <f t="shared" si="13"/>
        <v>10.106382978723405</v>
      </c>
      <c r="E42" s="62" t="s">
        <v>62</v>
      </c>
      <c r="F42" s="22">
        <v>23</v>
      </c>
      <c r="G42" s="61">
        <f t="shared" si="16"/>
        <v>8.8461538461538467</v>
      </c>
      <c r="H42" s="23">
        <v>16</v>
      </c>
      <c r="I42" s="22">
        <v>21</v>
      </c>
      <c r="J42" s="61">
        <f t="shared" si="17"/>
        <v>7.9545454545454541</v>
      </c>
      <c r="K42" s="23">
        <v>15</v>
      </c>
      <c r="L42" s="61">
        <f t="shared" si="18"/>
        <v>8.9690274264742342</v>
      </c>
      <c r="M42" s="63">
        <f t="shared" si="14"/>
        <v>15</v>
      </c>
      <c r="O42" s="27" t="s">
        <v>8</v>
      </c>
      <c r="P42" s="20"/>
      <c r="Q42" s="83">
        <f t="shared" si="19"/>
        <v>9.1581279712231307</v>
      </c>
      <c r="R42" s="83">
        <f t="shared" si="20"/>
        <v>8.9690274264742342</v>
      </c>
      <c r="S42" s="83">
        <f t="shared" si="21"/>
        <v>6.8579533822061762</v>
      </c>
      <c r="T42" s="85">
        <f t="shared" si="22"/>
        <v>8.328369593301181</v>
      </c>
      <c r="U42" s="83">
        <f t="shared" si="23"/>
        <v>13.333333333333334</v>
      </c>
      <c r="V42" s="23">
        <v>4</v>
      </c>
      <c r="W42" s="83">
        <f t="shared" si="24"/>
        <v>15</v>
      </c>
      <c r="X42" s="23">
        <v>1</v>
      </c>
      <c r="Y42" s="83">
        <f t="shared" si="25"/>
        <v>10.666666666666666</v>
      </c>
      <c r="Z42" s="23">
        <v>5</v>
      </c>
      <c r="AA42" s="85">
        <f t="shared" si="15"/>
        <v>13</v>
      </c>
    </row>
    <row r="43" spans="1:27" x14ac:dyDescent="0.25">
      <c r="A43" s="27" t="s">
        <v>9</v>
      </c>
      <c r="B43" s="20"/>
      <c r="C43" s="22">
        <v>9</v>
      </c>
      <c r="D43" s="61">
        <f t="shared" si="13"/>
        <v>4.7872340425531918</v>
      </c>
      <c r="E43" s="62" t="s">
        <v>58</v>
      </c>
      <c r="F43" s="22">
        <v>17</v>
      </c>
      <c r="G43" s="61">
        <f t="shared" si="16"/>
        <v>6.5384615384615383</v>
      </c>
      <c r="H43" s="23">
        <v>8</v>
      </c>
      <c r="I43" s="22">
        <v>20</v>
      </c>
      <c r="J43" s="61">
        <f t="shared" si="17"/>
        <v>7.5757575757575761</v>
      </c>
      <c r="K43" s="23">
        <v>11</v>
      </c>
      <c r="L43" s="61">
        <f t="shared" si="18"/>
        <v>6.3004843855907682</v>
      </c>
      <c r="M43" s="63">
        <f t="shared" si="14"/>
        <v>9</v>
      </c>
      <c r="O43" s="27" t="s">
        <v>9</v>
      </c>
      <c r="P43" s="20"/>
      <c r="Q43" s="83">
        <f t="shared" si="19"/>
        <v>7.522663062011496</v>
      </c>
      <c r="R43" s="83">
        <f t="shared" si="20"/>
        <v>6.3004843855907682</v>
      </c>
      <c r="S43" s="83">
        <f t="shared" si="21"/>
        <v>5.2004723550890795</v>
      </c>
      <c r="T43" s="85">
        <f t="shared" si="22"/>
        <v>6.341206600897114</v>
      </c>
      <c r="U43" s="83">
        <f t="shared" si="23"/>
        <v>11</v>
      </c>
      <c r="V43" s="23">
        <v>6</v>
      </c>
      <c r="W43" s="83">
        <f t="shared" si="24"/>
        <v>9</v>
      </c>
      <c r="X43" s="23">
        <v>7</v>
      </c>
      <c r="Y43" s="83">
        <f t="shared" si="25"/>
        <v>7</v>
      </c>
      <c r="Z43" s="23">
        <v>9</v>
      </c>
      <c r="AA43" s="85">
        <f t="shared" si="15"/>
        <v>9</v>
      </c>
    </row>
    <row r="44" spans="1:27" x14ac:dyDescent="0.25">
      <c r="A44" s="27" t="s">
        <v>124</v>
      </c>
      <c r="B44" s="20"/>
      <c r="C44" s="135">
        <v>9</v>
      </c>
      <c r="D44" s="61">
        <f t="shared" si="13"/>
        <v>4.7872340425531918</v>
      </c>
      <c r="E44" s="64" t="s">
        <v>64</v>
      </c>
      <c r="F44" s="22">
        <v>15</v>
      </c>
      <c r="G44" s="61">
        <f t="shared" si="16"/>
        <v>5.7692307692307692</v>
      </c>
      <c r="H44" s="23">
        <v>7</v>
      </c>
      <c r="I44" s="22">
        <v>15</v>
      </c>
      <c r="J44" s="61">
        <f t="shared" si="17"/>
        <v>5.6818181818181817</v>
      </c>
      <c r="K44" s="23">
        <v>5</v>
      </c>
      <c r="L44" s="61">
        <f t="shared" si="18"/>
        <v>5.4127609978673803</v>
      </c>
      <c r="M44" s="63">
        <f t="shared" si="14"/>
        <v>4.333333333333333</v>
      </c>
      <c r="O44" s="27" t="s">
        <v>124</v>
      </c>
      <c r="P44" s="20"/>
      <c r="Q44" s="83">
        <f t="shared" si="19"/>
        <v>3.819274651000931</v>
      </c>
      <c r="R44" s="83">
        <f t="shared" si="20"/>
        <v>5.4127609978673803</v>
      </c>
      <c r="S44" s="83">
        <f t="shared" si="21"/>
        <v>4.1722340144717815</v>
      </c>
      <c r="T44" s="85">
        <f t="shared" si="22"/>
        <v>4.4680898877800308</v>
      </c>
      <c r="U44" s="83">
        <f t="shared" si="23"/>
        <v>3.6666666666666665</v>
      </c>
      <c r="V44" s="23">
        <v>12</v>
      </c>
      <c r="W44" s="83">
        <f t="shared" si="24"/>
        <v>4.333333333333333</v>
      </c>
      <c r="X44" s="23">
        <v>14</v>
      </c>
      <c r="Y44" s="83">
        <f t="shared" si="25"/>
        <v>2</v>
      </c>
      <c r="Z44" s="23">
        <v>16</v>
      </c>
      <c r="AA44" s="85">
        <f t="shared" si="15"/>
        <v>3.3333333333333335</v>
      </c>
    </row>
    <row r="45" spans="1:27" x14ac:dyDescent="0.25">
      <c r="A45" s="27" t="s">
        <v>13</v>
      </c>
      <c r="B45" s="20"/>
      <c r="C45" s="22">
        <v>6</v>
      </c>
      <c r="D45" s="61">
        <f t="shared" si="13"/>
        <v>3.1914893617021276</v>
      </c>
      <c r="E45" s="62" t="s">
        <v>59</v>
      </c>
      <c r="F45" s="135">
        <v>9.5</v>
      </c>
      <c r="G45" s="61">
        <f t="shared" si="16"/>
        <v>3.6538461538461537</v>
      </c>
      <c r="H45" s="65">
        <v>1</v>
      </c>
      <c r="I45" s="22">
        <v>17</v>
      </c>
      <c r="J45" s="61">
        <f t="shared" si="17"/>
        <v>6.4393939393939394</v>
      </c>
      <c r="K45" s="23">
        <v>8</v>
      </c>
      <c r="L45" s="61">
        <f t="shared" si="18"/>
        <v>4.4282431516474068</v>
      </c>
      <c r="M45" s="63">
        <f t="shared" si="14"/>
        <v>4.666666666666667</v>
      </c>
      <c r="O45" s="27" t="s">
        <v>13</v>
      </c>
      <c r="P45" s="20"/>
      <c r="Q45" s="83">
        <f t="shared" si="19"/>
        <v>3.1197262039905689</v>
      </c>
      <c r="R45" s="83">
        <f t="shared" si="20"/>
        <v>4.4282431516474068</v>
      </c>
      <c r="S45" s="83">
        <f t="shared" si="21"/>
        <v>4.5722780182303353</v>
      </c>
      <c r="T45" s="85">
        <f t="shared" si="22"/>
        <v>4.0400824579561041</v>
      </c>
      <c r="U45" s="83">
        <f t="shared" si="23"/>
        <v>2.6666666666666665</v>
      </c>
      <c r="V45" s="23">
        <v>16</v>
      </c>
      <c r="W45" s="83">
        <f t="shared" si="24"/>
        <v>4.666666666666667</v>
      </c>
      <c r="X45" s="23">
        <v>13</v>
      </c>
      <c r="Y45" s="83">
        <f t="shared" si="25"/>
        <v>2.6666666666666665</v>
      </c>
      <c r="Z45" s="23">
        <v>15</v>
      </c>
      <c r="AA45" s="85">
        <f t="shared" si="15"/>
        <v>3.3333333333333335</v>
      </c>
    </row>
    <row r="46" spans="1:27" x14ac:dyDescent="0.25">
      <c r="A46" s="27" t="s">
        <v>5</v>
      </c>
      <c r="B46" s="20"/>
      <c r="C46" s="22">
        <v>11</v>
      </c>
      <c r="D46" s="61">
        <f t="shared" si="13"/>
        <v>5.8510638297872344</v>
      </c>
      <c r="E46" s="62" t="s">
        <v>65</v>
      </c>
      <c r="F46" s="92">
        <v>20</v>
      </c>
      <c r="G46" s="61">
        <f t="shared" si="16"/>
        <v>7.6923076923076925</v>
      </c>
      <c r="H46" s="79">
        <v>11</v>
      </c>
      <c r="I46" s="22">
        <v>20</v>
      </c>
      <c r="J46" s="61">
        <f t="shared" si="17"/>
        <v>7.5757575757575761</v>
      </c>
      <c r="K46" s="23">
        <v>11</v>
      </c>
      <c r="L46" s="61">
        <f t="shared" si="18"/>
        <v>7.0397096992841668</v>
      </c>
      <c r="M46" s="63">
        <f t="shared" si="14"/>
        <v>10.333333333333334</v>
      </c>
      <c r="O46" s="27" t="s">
        <v>5</v>
      </c>
      <c r="P46" s="20"/>
      <c r="Q46" s="83">
        <f t="shared" si="19"/>
        <v>9.0895723032194216</v>
      </c>
      <c r="R46" s="83">
        <f t="shared" si="20"/>
        <v>7.0397096992841668</v>
      </c>
      <c r="S46" s="83">
        <f t="shared" si="21"/>
        <v>6.5365347162934135</v>
      </c>
      <c r="T46" s="85">
        <f t="shared" si="22"/>
        <v>7.5552722395989997</v>
      </c>
      <c r="U46" s="83">
        <f t="shared" si="23"/>
        <v>13.666666666666666</v>
      </c>
      <c r="V46" s="23">
        <v>3</v>
      </c>
      <c r="W46" s="83">
        <f t="shared" si="24"/>
        <v>10.333333333333334</v>
      </c>
      <c r="X46" s="23">
        <v>6</v>
      </c>
      <c r="Y46" s="83">
        <f t="shared" si="25"/>
        <v>10.333333333333334</v>
      </c>
      <c r="Z46" s="23">
        <v>6</v>
      </c>
      <c r="AA46" s="85">
        <f t="shared" si="15"/>
        <v>11.444444444444445</v>
      </c>
    </row>
    <row r="47" spans="1:27" x14ac:dyDescent="0.25">
      <c r="A47" s="27" t="s">
        <v>7</v>
      </c>
      <c r="B47" s="20"/>
      <c r="C47" s="135">
        <v>4</v>
      </c>
      <c r="D47" s="61">
        <f t="shared" si="13"/>
        <v>2.1276595744680851</v>
      </c>
      <c r="E47" s="80" t="s">
        <v>66</v>
      </c>
      <c r="F47" s="22">
        <v>14</v>
      </c>
      <c r="G47" s="61">
        <f t="shared" si="16"/>
        <v>5.384615384615385</v>
      </c>
      <c r="H47" s="78">
        <v>5</v>
      </c>
      <c r="I47" s="22">
        <v>20</v>
      </c>
      <c r="J47" s="61">
        <f t="shared" si="17"/>
        <v>7.5757575757575761</v>
      </c>
      <c r="K47" s="23">
        <v>11</v>
      </c>
      <c r="L47" s="61">
        <f t="shared" si="18"/>
        <v>5.0293441782803487</v>
      </c>
      <c r="M47" s="63">
        <f t="shared" si="14"/>
        <v>6.333333333333333</v>
      </c>
      <c r="O47" s="27" t="s">
        <v>7</v>
      </c>
      <c r="P47" s="20"/>
      <c r="Q47" s="83">
        <f t="shared" si="19"/>
        <v>4.5722780910913299</v>
      </c>
      <c r="R47" s="83">
        <f t="shared" si="20"/>
        <v>5.0293441782803487</v>
      </c>
      <c r="S47" s="83">
        <f t="shared" si="21"/>
        <v>4.6783401603787</v>
      </c>
      <c r="T47" s="85">
        <f t="shared" si="22"/>
        <v>4.7599874765834587</v>
      </c>
      <c r="U47" s="83">
        <f t="shared" si="23"/>
        <v>6.333333333333333</v>
      </c>
      <c r="V47" s="23">
        <v>10</v>
      </c>
      <c r="W47" s="83">
        <f t="shared" si="24"/>
        <v>6.333333333333333</v>
      </c>
      <c r="X47" s="23">
        <v>9</v>
      </c>
      <c r="Y47" s="83">
        <f t="shared" si="25"/>
        <v>6.333333333333333</v>
      </c>
      <c r="Z47" s="23">
        <v>10</v>
      </c>
      <c r="AA47" s="85">
        <f t="shared" si="15"/>
        <v>6.333333333333333</v>
      </c>
    </row>
    <row r="48" spans="1:27" x14ac:dyDescent="0.25">
      <c r="A48" s="27" t="s">
        <v>94</v>
      </c>
      <c r="B48" s="20"/>
      <c r="C48" s="135">
        <v>9</v>
      </c>
      <c r="D48" s="61">
        <f t="shared" si="13"/>
        <v>4.7872340425531918</v>
      </c>
      <c r="E48" s="64" t="s">
        <v>64</v>
      </c>
      <c r="F48" s="22">
        <v>20</v>
      </c>
      <c r="G48" s="61">
        <f t="shared" si="16"/>
        <v>7.6923076923076925</v>
      </c>
      <c r="H48" s="23">
        <v>11</v>
      </c>
      <c r="I48" s="22">
        <v>11</v>
      </c>
      <c r="J48" s="61">
        <f t="shared" si="17"/>
        <v>4.166666666666667</v>
      </c>
      <c r="K48" s="23">
        <v>3</v>
      </c>
      <c r="L48" s="61">
        <f t="shared" si="18"/>
        <v>5.5487361338425174</v>
      </c>
      <c r="M48" s="63">
        <f t="shared" si="14"/>
        <v>5</v>
      </c>
      <c r="O48" s="27" t="s">
        <v>94</v>
      </c>
      <c r="P48" s="20"/>
      <c r="Q48" s="83">
        <f t="shared" si="19"/>
        <v>5.203461648693537</v>
      </c>
      <c r="R48" s="83">
        <f t="shared" si="20"/>
        <v>5.5487361338425174</v>
      </c>
      <c r="S48" s="83">
        <f t="shared" si="21"/>
        <v>4.6438132484458317</v>
      </c>
      <c r="T48" s="85">
        <f t="shared" si="22"/>
        <v>5.1320036769939614</v>
      </c>
      <c r="U48" s="83">
        <f t="shared" si="23"/>
        <v>6</v>
      </c>
      <c r="V48" s="23">
        <v>11</v>
      </c>
      <c r="W48" s="83">
        <f t="shared" si="24"/>
        <v>5</v>
      </c>
      <c r="X48" s="23">
        <v>10</v>
      </c>
      <c r="Y48" s="83">
        <f t="shared" si="25"/>
        <v>4.333333333333333</v>
      </c>
      <c r="Z48" s="23">
        <v>14</v>
      </c>
      <c r="AA48" s="85">
        <f t="shared" si="15"/>
        <v>5.1111111111111107</v>
      </c>
    </row>
    <row r="49" spans="1:27" x14ac:dyDescent="0.25">
      <c r="A49" s="27" t="s">
        <v>95</v>
      </c>
      <c r="B49" s="20"/>
      <c r="C49" s="22">
        <v>11</v>
      </c>
      <c r="D49" s="61">
        <f t="shared" si="13"/>
        <v>5.8510638297872344</v>
      </c>
      <c r="E49" s="80" t="s">
        <v>65</v>
      </c>
      <c r="F49" s="135">
        <v>9.5</v>
      </c>
      <c r="G49" s="61">
        <f t="shared" si="16"/>
        <v>3.6538461538461537</v>
      </c>
      <c r="H49" s="65">
        <v>1</v>
      </c>
      <c r="I49" s="74">
        <v>9</v>
      </c>
      <c r="J49" s="61">
        <f t="shared" si="17"/>
        <v>3.4090909090909092</v>
      </c>
      <c r="K49" s="23">
        <v>2</v>
      </c>
      <c r="L49" s="61">
        <f t="shared" si="18"/>
        <v>4.3046669642414317</v>
      </c>
      <c r="M49" s="63">
        <f t="shared" si="14"/>
        <v>4</v>
      </c>
      <c r="O49" s="27" t="s">
        <v>95</v>
      </c>
      <c r="P49" s="20"/>
      <c r="Q49" s="83">
        <f t="shared" si="19"/>
        <v>3.3641877888241076</v>
      </c>
      <c r="R49" s="83">
        <f t="shared" si="20"/>
        <v>4.3046669642414317</v>
      </c>
      <c r="S49" s="83">
        <f t="shared" si="21"/>
        <v>5.7452953236121402</v>
      </c>
      <c r="T49" s="85">
        <f t="shared" si="22"/>
        <v>4.4713833588925596</v>
      </c>
      <c r="U49" s="83">
        <f t="shared" si="23"/>
        <v>3.3333333333333335</v>
      </c>
      <c r="V49" s="23">
        <v>13</v>
      </c>
      <c r="W49" s="83">
        <f t="shared" si="24"/>
        <v>4</v>
      </c>
      <c r="X49" s="23">
        <v>15</v>
      </c>
      <c r="Y49" s="83">
        <f t="shared" si="25"/>
        <v>4.666666666666667</v>
      </c>
      <c r="Z49" s="23">
        <v>13</v>
      </c>
      <c r="AA49" s="85">
        <f t="shared" si="15"/>
        <v>4</v>
      </c>
    </row>
    <row r="50" spans="1:27" x14ac:dyDescent="0.25">
      <c r="A50" s="27" t="s">
        <v>6</v>
      </c>
      <c r="B50" s="20"/>
      <c r="C50" s="22">
        <v>21</v>
      </c>
      <c r="D50" s="61">
        <f t="shared" si="13"/>
        <v>11.170212765957446</v>
      </c>
      <c r="E50" s="111" t="s">
        <v>61</v>
      </c>
      <c r="F50" s="22">
        <v>21</v>
      </c>
      <c r="G50" s="61">
        <f t="shared" si="16"/>
        <v>8.0769230769230766</v>
      </c>
      <c r="H50" s="79">
        <v>13</v>
      </c>
      <c r="I50" s="74">
        <v>20</v>
      </c>
      <c r="J50" s="61">
        <f t="shared" si="17"/>
        <v>7.5757575757575761</v>
      </c>
      <c r="K50" s="23">
        <v>11</v>
      </c>
      <c r="L50" s="61">
        <f t="shared" si="18"/>
        <v>8.9409644728793669</v>
      </c>
      <c r="M50" s="63">
        <f t="shared" si="14"/>
        <v>13</v>
      </c>
      <c r="O50" s="27" t="s">
        <v>6</v>
      </c>
      <c r="P50" s="20"/>
      <c r="Q50" s="83">
        <f t="shared" si="19"/>
        <v>10.759209563433112</v>
      </c>
      <c r="R50" s="83">
        <f t="shared" si="20"/>
        <v>8.9409644728793669</v>
      </c>
      <c r="S50" s="83">
        <f t="shared" si="21"/>
        <v>7.9647432811629999</v>
      </c>
      <c r="T50" s="85">
        <f t="shared" si="22"/>
        <v>9.2216391058251599</v>
      </c>
      <c r="U50" s="83">
        <f t="shared" si="23"/>
        <v>15</v>
      </c>
      <c r="V50" s="23">
        <v>2</v>
      </c>
      <c r="W50" s="83">
        <f t="shared" si="24"/>
        <v>13</v>
      </c>
      <c r="X50" s="23">
        <v>2</v>
      </c>
      <c r="Y50" s="83">
        <f t="shared" si="25"/>
        <v>13.666666666666666</v>
      </c>
      <c r="Z50" s="23">
        <v>3</v>
      </c>
      <c r="AA50" s="85">
        <f t="shared" si="15"/>
        <v>13.888888888888888</v>
      </c>
    </row>
    <row r="51" spans="1:27" x14ac:dyDescent="0.25">
      <c r="A51" s="123" t="s">
        <v>10</v>
      </c>
      <c r="B51" s="20"/>
      <c r="C51" s="22">
        <v>5</v>
      </c>
      <c r="D51" s="61">
        <f t="shared" si="13"/>
        <v>2.6595744680851063</v>
      </c>
      <c r="E51" s="111" t="s">
        <v>63</v>
      </c>
      <c r="F51" s="22">
        <v>11</v>
      </c>
      <c r="G51" s="61">
        <f t="shared" si="16"/>
        <v>4.2307692307692308</v>
      </c>
      <c r="H51" s="78">
        <v>4</v>
      </c>
      <c r="I51" s="74">
        <v>7</v>
      </c>
      <c r="J51" s="61">
        <f t="shared" si="17"/>
        <v>2.6515151515151514</v>
      </c>
      <c r="K51" s="23">
        <v>1</v>
      </c>
      <c r="L51" s="61">
        <f t="shared" si="18"/>
        <v>3.18061961678983</v>
      </c>
      <c r="M51" s="63">
        <f t="shared" si="14"/>
        <v>3</v>
      </c>
      <c r="O51" s="123" t="s">
        <v>10</v>
      </c>
      <c r="P51" s="20"/>
      <c r="Q51" s="83">
        <f t="shared" si="19"/>
        <v>3.1280946423993448</v>
      </c>
      <c r="R51" s="83">
        <f t="shared" si="20"/>
        <v>3.18061961678983</v>
      </c>
      <c r="S51" s="83">
        <f t="shared" si="21"/>
        <v>4.2495840679971613</v>
      </c>
      <c r="T51" s="85">
        <f t="shared" si="22"/>
        <v>3.5194327757287787</v>
      </c>
      <c r="U51" s="83">
        <f t="shared" si="23"/>
        <v>3.3333333333333335</v>
      </c>
      <c r="V51" s="23">
        <v>13</v>
      </c>
      <c r="W51" s="83">
        <f t="shared" si="24"/>
        <v>3</v>
      </c>
      <c r="X51" s="23">
        <v>16</v>
      </c>
      <c r="Y51" s="83">
        <f t="shared" si="25"/>
        <v>5.333333333333333</v>
      </c>
      <c r="Z51" s="23">
        <v>12</v>
      </c>
      <c r="AA51" s="85">
        <f t="shared" si="15"/>
        <v>3.8888888888888893</v>
      </c>
    </row>
    <row r="52" spans="1:27" x14ac:dyDescent="0.25">
      <c r="A52" s="123" t="s">
        <v>11</v>
      </c>
      <c r="B52" s="20"/>
      <c r="C52" s="22">
        <v>8</v>
      </c>
      <c r="D52" s="61">
        <f t="shared" si="13"/>
        <v>4.2553191489361701</v>
      </c>
      <c r="E52" s="80" t="s">
        <v>56</v>
      </c>
      <c r="F52" s="22">
        <v>7</v>
      </c>
      <c r="G52" s="61">
        <f t="shared" si="16"/>
        <v>2.6923076923076925</v>
      </c>
      <c r="H52" s="78">
        <v>3</v>
      </c>
      <c r="I52" s="22">
        <v>15</v>
      </c>
      <c r="J52" s="61">
        <f t="shared" si="17"/>
        <v>5.6818181818181817</v>
      </c>
      <c r="K52" s="23">
        <v>5</v>
      </c>
      <c r="L52" s="61">
        <f t="shared" si="18"/>
        <v>4.2098150076873475</v>
      </c>
      <c r="M52" s="63">
        <f t="shared" si="14"/>
        <v>5</v>
      </c>
      <c r="O52" s="123" t="s">
        <v>11</v>
      </c>
      <c r="P52" s="20"/>
      <c r="Q52" s="83">
        <f t="shared" si="19"/>
        <v>3.0182244783407342</v>
      </c>
      <c r="R52" s="83">
        <f t="shared" si="20"/>
        <v>4.2098150076873475</v>
      </c>
      <c r="S52" s="83">
        <f t="shared" si="21"/>
        <v>5.1647341747725264</v>
      </c>
      <c r="T52" s="85">
        <f t="shared" si="22"/>
        <v>4.1309245536002024</v>
      </c>
      <c r="U52" s="83">
        <f t="shared" si="23"/>
        <v>3</v>
      </c>
      <c r="V52" s="23">
        <v>15</v>
      </c>
      <c r="W52" s="83">
        <f t="shared" si="24"/>
        <v>5</v>
      </c>
      <c r="X52" s="23">
        <v>10</v>
      </c>
      <c r="Y52" s="83">
        <f t="shared" si="25"/>
        <v>6.333333333333333</v>
      </c>
      <c r="Z52" s="23">
        <v>10</v>
      </c>
      <c r="AA52" s="85">
        <f t="shared" si="15"/>
        <v>4.7777777777777777</v>
      </c>
    </row>
    <row r="53" spans="1:27" x14ac:dyDescent="0.25">
      <c r="A53" s="60"/>
      <c r="B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63"/>
      <c r="O53" s="84"/>
      <c r="P53" s="20"/>
      <c r="Q53" s="83"/>
      <c r="R53" s="83"/>
      <c r="S53" s="83"/>
      <c r="T53" s="85"/>
      <c r="U53" s="83"/>
      <c r="V53" s="83"/>
      <c r="W53" s="83"/>
      <c r="X53" s="83"/>
      <c r="Y53" s="83"/>
      <c r="Z53" s="83"/>
      <c r="AA53" s="85"/>
    </row>
    <row r="54" spans="1:27" ht="15.75" thickBot="1" x14ac:dyDescent="0.3">
      <c r="A54" s="75" t="s">
        <v>14</v>
      </c>
      <c r="B54" s="26"/>
      <c r="C54" s="33">
        <f t="shared" ref="C54:M54" si="26">SUM(C37:C52)</f>
        <v>188</v>
      </c>
      <c r="D54" s="69">
        <f t="shared" si="26"/>
        <v>100</v>
      </c>
      <c r="E54" s="69"/>
      <c r="F54" s="33">
        <f t="shared" si="26"/>
        <v>260</v>
      </c>
      <c r="G54" s="69">
        <f t="shared" si="26"/>
        <v>100.00000000000001</v>
      </c>
      <c r="H54" s="69"/>
      <c r="I54" s="33">
        <f t="shared" si="26"/>
        <v>264</v>
      </c>
      <c r="J54" s="69">
        <f t="shared" si="26"/>
        <v>100.00000000000001</v>
      </c>
      <c r="K54" s="69"/>
      <c r="L54" s="69">
        <f t="shared" si="26"/>
        <v>100.00000000000001</v>
      </c>
      <c r="M54" s="70">
        <f t="shared" si="26"/>
        <v>130.66666666666666</v>
      </c>
      <c r="O54" s="86" t="s">
        <v>14</v>
      </c>
      <c r="P54" s="87"/>
      <c r="Q54" s="88">
        <v>100</v>
      </c>
      <c r="R54" s="88">
        <v>100.00000000000001</v>
      </c>
      <c r="S54" s="88">
        <v>100</v>
      </c>
      <c r="T54" s="89">
        <f t="shared" si="22"/>
        <v>100</v>
      </c>
      <c r="U54" s="88">
        <f>SUM(U37:U52)</f>
        <v>135.33333333333334</v>
      </c>
      <c r="V54" s="88"/>
      <c r="W54" s="88">
        <f>SUM(W37:W52)</f>
        <v>130.66666666666666</v>
      </c>
      <c r="X54" s="88"/>
      <c r="Y54" s="88">
        <f>SUM(Y37:Y52)</f>
        <v>135.33333333333334</v>
      </c>
      <c r="Z54" s="88"/>
      <c r="AA54" s="89">
        <f>SUM((U54+W54+Y54)/3)</f>
        <v>133.7777777777778</v>
      </c>
    </row>
    <row r="55" spans="1:27" ht="15.75" thickBot="1" x14ac:dyDescent="0.3">
      <c r="A55" s="16"/>
      <c r="B55" s="16"/>
      <c r="C55" s="16"/>
      <c r="D55" s="16"/>
      <c r="E55" s="16"/>
      <c r="F55" s="16"/>
      <c r="G55" s="20"/>
      <c r="H55" s="20"/>
      <c r="I55" s="16"/>
      <c r="J55" s="16"/>
      <c r="K55" s="16"/>
      <c r="L55" s="16"/>
      <c r="M55" s="20"/>
    </row>
    <row r="56" spans="1:27" x14ac:dyDescent="0.25">
      <c r="A56" s="52" t="s">
        <v>17</v>
      </c>
      <c r="B56" s="51"/>
      <c r="C56" s="44">
        <v>2012</v>
      </c>
      <c r="D56" s="51"/>
      <c r="E56" s="72" t="s">
        <v>45</v>
      </c>
      <c r="F56" s="44">
        <v>2013</v>
      </c>
      <c r="G56" s="51"/>
      <c r="H56" s="72" t="s">
        <v>45</v>
      </c>
      <c r="I56" s="44" t="s">
        <v>134</v>
      </c>
      <c r="J56" s="51"/>
      <c r="K56" s="72" t="s">
        <v>45</v>
      </c>
      <c r="L56" s="44" t="s">
        <v>47</v>
      </c>
      <c r="M56" s="73" t="s">
        <v>48</v>
      </c>
    </row>
    <row r="57" spans="1:27" x14ac:dyDescent="0.25">
      <c r="A57" s="42" t="s">
        <v>71</v>
      </c>
      <c r="B57" s="20"/>
      <c r="C57" s="35" t="s">
        <v>16</v>
      </c>
      <c r="D57" s="7" t="s">
        <v>23</v>
      </c>
      <c r="E57" s="53" t="s">
        <v>50</v>
      </c>
      <c r="F57" s="35" t="s">
        <v>16</v>
      </c>
      <c r="G57" s="7" t="s">
        <v>23</v>
      </c>
      <c r="H57" s="53" t="s">
        <v>50</v>
      </c>
      <c r="I57" s="35" t="s">
        <v>16</v>
      </c>
      <c r="J57" s="7" t="s">
        <v>23</v>
      </c>
      <c r="K57" s="53" t="s">
        <v>50</v>
      </c>
      <c r="L57" s="35" t="s">
        <v>52</v>
      </c>
      <c r="M57" s="57" t="s">
        <v>50</v>
      </c>
    </row>
    <row r="58" spans="1:27" x14ac:dyDescent="0.25">
      <c r="A58" s="42" t="s">
        <v>35</v>
      </c>
      <c r="B58" s="20"/>
      <c r="C58" s="35" t="s">
        <v>72</v>
      </c>
      <c r="D58" s="16"/>
      <c r="E58" s="16"/>
      <c r="F58" s="35" t="s">
        <v>72</v>
      </c>
      <c r="G58" s="20"/>
      <c r="H58" s="20"/>
      <c r="I58" s="35" t="s">
        <v>72</v>
      </c>
      <c r="J58" s="20"/>
      <c r="K58" s="20"/>
      <c r="L58" s="59" t="s">
        <v>33</v>
      </c>
      <c r="M58" s="36" t="s">
        <v>70</v>
      </c>
    </row>
    <row r="59" spans="1:27" x14ac:dyDescent="0.25">
      <c r="A59" s="27" t="s">
        <v>1</v>
      </c>
      <c r="B59" s="20"/>
      <c r="C59" s="23">
        <v>29408</v>
      </c>
      <c r="D59" s="61">
        <f t="shared" ref="D59:D74" si="27">C59*100/$C$76</f>
        <v>8.8192074469042208</v>
      </c>
      <c r="E59" s="23">
        <v>15</v>
      </c>
      <c r="F59" s="23">
        <v>21033</v>
      </c>
      <c r="G59" s="61">
        <f>F59*100/$F$76</f>
        <v>9.1308877794660308</v>
      </c>
      <c r="H59" s="23">
        <v>15</v>
      </c>
      <c r="I59" s="23">
        <v>20742</v>
      </c>
      <c r="J59" s="61">
        <f>I59*100/$I$76</f>
        <v>9.6561099033085522</v>
      </c>
      <c r="K59" s="23">
        <v>15</v>
      </c>
      <c r="L59" s="61">
        <f>(D59+G59+J59)/3</f>
        <v>9.2020683765596019</v>
      </c>
      <c r="M59" s="76">
        <f t="shared" ref="M59:M74" si="28">(E59+H59+K59)/3</f>
        <v>15</v>
      </c>
    </row>
    <row r="60" spans="1:27" x14ac:dyDescent="0.25">
      <c r="A60" s="27" t="s">
        <v>3</v>
      </c>
      <c r="B60" s="20"/>
      <c r="C60" s="23">
        <v>39088</v>
      </c>
      <c r="D60" s="61">
        <f t="shared" si="27"/>
        <v>11.722156579318288</v>
      </c>
      <c r="E60" s="23">
        <v>16</v>
      </c>
      <c r="F60" s="23">
        <v>26573</v>
      </c>
      <c r="G60" s="61">
        <f t="shared" ref="G60:G74" si="29">F60*100/$F$76</f>
        <v>11.535923594530063</v>
      </c>
      <c r="H60" s="23">
        <v>16</v>
      </c>
      <c r="I60" s="23">
        <v>22987</v>
      </c>
      <c r="J60" s="61">
        <f t="shared" ref="J60:J74" si="30">I60*100/$I$76</f>
        <v>10.701234131103735</v>
      </c>
      <c r="K60" s="23">
        <v>16</v>
      </c>
      <c r="L60" s="61">
        <f t="shared" ref="L60:L74" si="31">(D60+G60+J60)/3</f>
        <v>11.319771434984029</v>
      </c>
      <c r="M60" s="76">
        <f t="shared" si="28"/>
        <v>16</v>
      </c>
    </row>
    <row r="61" spans="1:27" x14ac:dyDescent="0.25">
      <c r="A61" s="27" t="s">
        <v>101</v>
      </c>
      <c r="B61" s="20"/>
      <c r="C61" s="23">
        <v>19531</v>
      </c>
      <c r="D61" s="61">
        <f t="shared" si="27"/>
        <v>5.8571797009482571</v>
      </c>
      <c r="E61" s="23">
        <v>7</v>
      </c>
      <c r="F61" s="23">
        <v>13512</v>
      </c>
      <c r="G61" s="61">
        <f t="shared" si="29"/>
        <v>5.8658563056218798</v>
      </c>
      <c r="H61" s="23">
        <v>9</v>
      </c>
      <c r="I61" s="23">
        <v>15194</v>
      </c>
      <c r="J61" s="61">
        <f t="shared" si="30"/>
        <v>7.0733262882494516</v>
      </c>
      <c r="K61" s="23">
        <v>12</v>
      </c>
      <c r="L61" s="61">
        <f t="shared" si="31"/>
        <v>6.2654540982731959</v>
      </c>
      <c r="M61" s="76">
        <f t="shared" si="28"/>
        <v>9.3333333333333339</v>
      </c>
    </row>
    <row r="62" spans="1:27" x14ac:dyDescent="0.25">
      <c r="A62" s="27" t="s">
        <v>2</v>
      </c>
      <c r="B62" s="20"/>
      <c r="C62" s="23">
        <v>24955</v>
      </c>
      <c r="D62" s="61">
        <f t="shared" si="27"/>
        <v>7.4837908677058902</v>
      </c>
      <c r="E62" s="23">
        <v>13</v>
      </c>
      <c r="F62" s="23">
        <v>17088</v>
      </c>
      <c r="G62" s="61">
        <f t="shared" si="29"/>
        <v>7.4182765357065339</v>
      </c>
      <c r="H62" s="23">
        <v>12</v>
      </c>
      <c r="I62" s="23">
        <v>17161</v>
      </c>
      <c r="J62" s="61">
        <f t="shared" si="30"/>
        <v>7.9890320147853657</v>
      </c>
      <c r="K62" s="23">
        <v>13</v>
      </c>
      <c r="L62" s="61">
        <f t="shared" si="31"/>
        <v>7.6303664727325966</v>
      </c>
      <c r="M62" s="76">
        <f t="shared" si="28"/>
        <v>12.666666666666666</v>
      </c>
    </row>
    <row r="63" spans="1:27" x14ac:dyDescent="0.25">
      <c r="A63" s="27" t="s">
        <v>123</v>
      </c>
      <c r="B63" s="20"/>
      <c r="C63" s="23">
        <v>22462</v>
      </c>
      <c r="D63" s="61">
        <f t="shared" si="27"/>
        <v>6.7361615095335488</v>
      </c>
      <c r="E63" s="23">
        <v>10</v>
      </c>
      <c r="F63" s="23">
        <v>11957</v>
      </c>
      <c r="G63" s="61">
        <f t="shared" si="29"/>
        <v>5.1907966138484918</v>
      </c>
      <c r="H63" s="23">
        <v>8</v>
      </c>
      <c r="I63" s="23">
        <v>11733</v>
      </c>
      <c r="J63" s="61">
        <f t="shared" si="30"/>
        <v>5.4621125009892602</v>
      </c>
      <c r="K63" s="23">
        <v>9</v>
      </c>
      <c r="L63" s="61">
        <f t="shared" si="31"/>
        <v>5.7963568747904333</v>
      </c>
      <c r="M63" s="76">
        <f t="shared" si="28"/>
        <v>9</v>
      </c>
    </row>
    <row r="64" spans="1:27" x14ac:dyDescent="0.25">
      <c r="A64" s="27" t="s">
        <v>8</v>
      </c>
      <c r="B64" s="20"/>
      <c r="C64" s="23">
        <v>20221</v>
      </c>
      <c r="D64" s="61">
        <f t="shared" si="27"/>
        <v>6.0641047940645487</v>
      </c>
      <c r="E64" s="23">
        <v>8</v>
      </c>
      <c r="F64" s="23">
        <v>18333</v>
      </c>
      <c r="G64" s="61">
        <f t="shared" si="29"/>
        <v>7.9587584111135232</v>
      </c>
      <c r="H64" s="23">
        <v>14</v>
      </c>
      <c r="I64" s="23">
        <v>14072</v>
      </c>
      <c r="J64" s="61">
        <f t="shared" si="30"/>
        <v>6.5509969414404559</v>
      </c>
      <c r="K64" s="23">
        <v>10</v>
      </c>
      <c r="L64" s="61">
        <f t="shared" si="31"/>
        <v>6.8579533822061762</v>
      </c>
      <c r="M64" s="76">
        <f t="shared" si="28"/>
        <v>10.666666666666666</v>
      </c>
    </row>
    <row r="65" spans="1:13" x14ac:dyDescent="0.25">
      <c r="A65" s="27" t="s">
        <v>9</v>
      </c>
      <c r="B65" s="20"/>
      <c r="C65" s="23">
        <v>15582</v>
      </c>
      <c r="D65" s="61">
        <f t="shared" si="27"/>
        <v>4.6729084071566094</v>
      </c>
      <c r="E65" s="23">
        <v>6</v>
      </c>
      <c r="F65" s="23">
        <v>14091</v>
      </c>
      <c r="G65" s="61">
        <f t="shared" si="29"/>
        <v>6.1172129368352506</v>
      </c>
      <c r="H65" s="23">
        <v>10</v>
      </c>
      <c r="I65" s="23">
        <v>10335</v>
      </c>
      <c r="J65" s="61">
        <f t="shared" si="30"/>
        <v>4.8112957212753775</v>
      </c>
      <c r="K65" s="23">
        <v>5</v>
      </c>
      <c r="L65" s="61">
        <f t="shared" si="31"/>
        <v>5.2004723550890795</v>
      </c>
      <c r="M65" s="76">
        <f t="shared" si="28"/>
        <v>7</v>
      </c>
    </row>
    <row r="66" spans="1:13" x14ac:dyDescent="0.25">
      <c r="A66" s="27" t="s">
        <v>124</v>
      </c>
      <c r="B66" s="20"/>
      <c r="C66" s="65">
        <v>16076</v>
      </c>
      <c r="D66" s="61">
        <f t="shared" si="27"/>
        <v>4.8210547781703026</v>
      </c>
      <c r="E66" s="65">
        <v>1</v>
      </c>
      <c r="F66" s="23">
        <v>7843</v>
      </c>
      <c r="G66" s="61">
        <f t="shared" si="29"/>
        <v>3.4048187540698938</v>
      </c>
      <c r="H66" s="23">
        <v>3</v>
      </c>
      <c r="I66" s="23">
        <v>9217</v>
      </c>
      <c r="J66" s="61">
        <f t="shared" si="30"/>
        <v>4.2908285111751479</v>
      </c>
      <c r="K66" s="23">
        <v>2</v>
      </c>
      <c r="L66" s="61">
        <f t="shared" si="31"/>
        <v>4.1722340144717815</v>
      </c>
      <c r="M66" s="76">
        <f t="shared" si="28"/>
        <v>2</v>
      </c>
    </row>
    <row r="67" spans="1:13" x14ac:dyDescent="0.25">
      <c r="A67" s="27" t="s">
        <v>13</v>
      </c>
      <c r="B67" s="20"/>
      <c r="C67" s="23">
        <v>9762</v>
      </c>
      <c r="D67" s="61">
        <f t="shared" si="27"/>
        <v>2.9275402304365818</v>
      </c>
      <c r="E67" s="23">
        <v>3</v>
      </c>
      <c r="F67" s="65">
        <v>14062</v>
      </c>
      <c r="G67" s="61">
        <f t="shared" si="29"/>
        <v>6.1046233991751686</v>
      </c>
      <c r="H67" s="65">
        <v>1</v>
      </c>
      <c r="I67" s="23">
        <v>10063</v>
      </c>
      <c r="J67" s="61">
        <f t="shared" si="30"/>
        <v>4.6846704250792568</v>
      </c>
      <c r="K67" s="23">
        <v>4</v>
      </c>
      <c r="L67" s="61">
        <f t="shared" si="31"/>
        <v>4.5722780182303353</v>
      </c>
      <c r="M67" s="76">
        <f t="shared" si="28"/>
        <v>2.6666666666666665</v>
      </c>
    </row>
    <row r="68" spans="1:13" x14ac:dyDescent="0.25">
      <c r="A68" s="27" t="s">
        <v>5</v>
      </c>
      <c r="B68" s="20"/>
      <c r="C68" s="23">
        <v>21706</v>
      </c>
      <c r="D68" s="61">
        <f t="shared" si="27"/>
        <v>6.5094435814235245</v>
      </c>
      <c r="E68" s="23">
        <v>9</v>
      </c>
      <c r="F68" s="78">
        <v>14923</v>
      </c>
      <c r="G68" s="61">
        <f t="shared" si="29"/>
        <v>6.4784024310831345</v>
      </c>
      <c r="H68" s="78">
        <v>11</v>
      </c>
      <c r="I68" s="23">
        <v>14224</v>
      </c>
      <c r="J68" s="61">
        <f t="shared" si="30"/>
        <v>6.6217581363735816</v>
      </c>
      <c r="K68" s="23">
        <v>11</v>
      </c>
      <c r="L68" s="61">
        <f t="shared" si="31"/>
        <v>6.5365347162934135</v>
      </c>
      <c r="M68" s="76">
        <f t="shared" si="28"/>
        <v>10.333333333333334</v>
      </c>
    </row>
    <row r="69" spans="1:13" x14ac:dyDescent="0.25">
      <c r="A69" s="27" t="s">
        <v>7</v>
      </c>
      <c r="B69" s="20"/>
      <c r="C69" s="79">
        <v>13875</v>
      </c>
      <c r="D69" s="61">
        <f t="shared" si="27"/>
        <v>4.160993720273261</v>
      </c>
      <c r="E69" s="79">
        <v>5</v>
      </c>
      <c r="F69" s="23">
        <v>11084</v>
      </c>
      <c r="G69" s="61">
        <f t="shared" si="29"/>
        <v>4.8118081180811805</v>
      </c>
      <c r="H69" s="23">
        <v>7</v>
      </c>
      <c r="I69" s="23">
        <v>10874</v>
      </c>
      <c r="J69" s="61">
        <f t="shared" si="30"/>
        <v>5.0622186427816596</v>
      </c>
      <c r="K69" s="23">
        <v>7</v>
      </c>
      <c r="L69" s="61">
        <f t="shared" si="31"/>
        <v>4.6783401603787</v>
      </c>
      <c r="M69" s="76">
        <f t="shared" si="28"/>
        <v>6.333333333333333</v>
      </c>
    </row>
    <row r="70" spans="1:13" x14ac:dyDescent="0.25">
      <c r="A70" s="27" t="s">
        <v>94</v>
      </c>
      <c r="B70" s="20"/>
      <c r="C70" s="65">
        <v>16076</v>
      </c>
      <c r="D70" s="61">
        <f t="shared" si="27"/>
        <v>4.8210547781703026</v>
      </c>
      <c r="E70" s="65">
        <v>1</v>
      </c>
      <c r="F70" s="23">
        <v>9711</v>
      </c>
      <c r="G70" s="61">
        <f t="shared" si="29"/>
        <v>4.215758628174517</v>
      </c>
      <c r="H70" s="23">
        <v>6</v>
      </c>
      <c r="I70" s="23">
        <v>10514</v>
      </c>
      <c r="J70" s="61">
        <f t="shared" si="30"/>
        <v>4.8946263389926772</v>
      </c>
      <c r="K70" s="23">
        <v>6</v>
      </c>
      <c r="L70" s="61">
        <f t="shared" si="31"/>
        <v>4.6438132484458317</v>
      </c>
      <c r="M70" s="76">
        <f t="shared" si="28"/>
        <v>4.333333333333333</v>
      </c>
    </row>
    <row r="71" spans="1:13" x14ac:dyDescent="0.25">
      <c r="A71" s="27" t="s">
        <v>95</v>
      </c>
      <c r="B71" s="20"/>
      <c r="C71" s="23">
        <v>23041</v>
      </c>
      <c r="D71" s="61">
        <f t="shared" si="27"/>
        <v>6.9097986528876545</v>
      </c>
      <c r="E71" s="79">
        <v>12</v>
      </c>
      <c r="F71" s="65">
        <v>14062</v>
      </c>
      <c r="G71" s="61">
        <f t="shared" si="29"/>
        <v>6.1046233991751686</v>
      </c>
      <c r="H71" s="65">
        <v>1</v>
      </c>
      <c r="I71" s="23">
        <v>9068</v>
      </c>
      <c r="J71" s="61">
        <f t="shared" si="30"/>
        <v>4.2214639187735967</v>
      </c>
      <c r="K71" s="78">
        <v>1</v>
      </c>
      <c r="L71" s="61">
        <f t="shared" si="31"/>
        <v>5.7452953236121402</v>
      </c>
      <c r="M71" s="76">
        <f t="shared" si="28"/>
        <v>4.666666666666667</v>
      </c>
    </row>
    <row r="72" spans="1:13" x14ac:dyDescent="0.25">
      <c r="A72" s="27" t="s">
        <v>6</v>
      </c>
      <c r="B72" s="20"/>
      <c r="C72" s="23">
        <v>26606</v>
      </c>
      <c r="D72" s="61">
        <f t="shared" si="27"/>
        <v>7.9789116339884965</v>
      </c>
      <c r="E72" s="78">
        <v>14</v>
      </c>
      <c r="F72" s="23">
        <v>17203</v>
      </c>
      <c r="G72" s="61">
        <f t="shared" si="29"/>
        <v>7.4682005643585851</v>
      </c>
      <c r="H72" s="79">
        <v>13</v>
      </c>
      <c r="I72" s="23">
        <v>18145</v>
      </c>
      <c r="J72" s="61">
        <f t="shared" si="30"/>
        <v>8.4471176451419172</v>
      </c>
      <c r="K72" s="23">
        <v>14</v>
      </c>
      <c r="L72" s="61">
        <f t="shared" si="31"/>
        <v>7.9647432811629999</v>
      </c>
      <c r="M72" s="76">
        <f t="shared" si="28"/>
        <v>13.666666666666666</v>
      </c>
    </row>
    <row r="73" spans="1:13" x14ac:dyDescent="0.25">
      <c r="A73" s="123" t="s">
        <v>10</v>
      </c>
      <c r="B73" s="20"/>
      <c r="C73" s="23">
        <v>12250</v>
      </c>
      <c r="D73" s="61">
        <f t="shared" si="27"/>
        <v>3.6736701314124285</v>
      </c>
      <c r="E73" s="78">
        <v>4</v>
      </c>
      <c r="F73" s="23">
        <v>9175</v>
      </c>
      <c r="G73" s="61">
        <f t="shared" si="29"/>
        <v>3.9830692424571303</v>
      </c>
      <c r="H73" s="78">
        <v>4</v>
      </c>
      <c r="I73" s="23">
        <v>10938</v>
      </c>
      <c r="J73" s="61">
        <f t="shared" si="30"/>
        <v>5.0920128301219236</v>
      </c>
      <c r="K73" s="23">
        <v>8</v>
      </c>
      <c r="L73" s="61">
        <f t="shared" si="31"/>
        <v>4.2495840679971613</v>
      </c>
      <c r="M73" s="76">
        <f t="shared" si="28"/>
        <v>5.333333333333333</v>
      </c>
    </row>
    <row r="74" spans="1:13" x14ac:dyDescent="0.25">
      <c r="A74" s="123" t="s">
        <v>11</v>
      </c>
      <c r="B74" s="20"/>
      <c r="C74" s="23">
        <v>22815</v>
      </c>
      <c r="D74" s="61">
        <f t="shared" si="27"/>
        <v>6.8420231876060864</v>
      </c>
      <c r="E74" s="79">
        <v>11</v>
      </c>
      <c r="F74" s="23">
        <v>9700</v>
      </c>
      <c r="G74" s="61">
        <f t="shared" si="29"/>
        <v>4.2109832863034509</v>
      </c>
      <c r="H74" s="23">
        <v>5</v>
      </c>
      <c r="I74" s="23">
        <v>9540</v>
      </c>
      <c r="J74" s="61">
        <f t="shared" si="30"/>
        <v>4.441196050408041</v>
      </c>
      <c r="K74" s="23">
        <v>3</v>
      </c>
      <c r="L74" s="61">
        <f t="shared" si="31"/>
        <v>5.1647341747725264</v>
      </c>
      <c r="M74" s="76">
        <f t="shared" si="28"/>
        <v>6.333333333333333</v>
      </c>
    </row>
    <row r="75" spans="1:13" x14ac:dyDescent="0.25">
      <c r="A75" s="19"/>
      <c r="B75" s="20"/>
      <c r="C75" s="23"/>
      <c r="D75" s="61"/>
      <c r="E75" s="61"/>
      <c r="F75" s="23"/>
      <c r="G75" s="23"/>
      <c r="H75" s="23"/>
      <c r="I75" s="23"/>
      <c r="J75" s="23"/>
      <c r="K75" s="23"/>
      <c r="L75" s="23"/>
      <c r="M75" s="76"/>
    </row>
    <row r="76" spans="1:13" ht="15.75" thickBot="1" x14ac:dyDescent="0.3">
      <c r="A76" s="24" t="s">
        <v>14</v>
      </c>
      <c r="B76" s="26"/>
      <c r="C76" s="25">
        <f>SUM(C59:C74)</f>
        <v>333454</v>
      </c>
      <c r="D76" s="69">
        <f>SUM(D59:D74)</f>
        <v>100.00000000000003</v>
      </c>
      <c r="E76" s="69"/>
      <c r="F76" s="25">
        <f>SUM(F59:F74)</f>
        <v>230350</v>
      </c>
      <c r="G76" s="69">
        <f>SUM(G59:G74)</f>
        <v>99.999999999999986</v>
      </c>
      <c r="H76" s="69"/>
      <c r="I76" s="25">
        <f t="shared" ref="I76:M76" si="32">SUM(I59:I74)</f>
        <v>214807</v>
      </c>
      <c r="J76" s="69">
        <f t="shared" si="32"/>
        <v>100.00000000000001</v>
      </c>
      <c r="K76" s="69"/>
      <c r="L76" s="69">
        <f t="shared" si="32"/>
        <v>100</v>
      </c>
      <c r="M76" s="77">
        <f t="shared" si="32"/>
        <v>135.33333333333334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>
      <selection activeCell="A60" sqref="A60"/>
    </sheetView>
  </sheetViews>
  <sheetFormatPr baseColWidth="10" defaultRowHeight="15" x14ac:dyDescent="0.25"/>
  <cols>
    <col min="1" max="1" width="18.42578125" customWidth="1"/>
    <col min="2" max="2" width="13.42578125" customWidth="1"/>
  </cols>
  <sheetData>
    <row r="1" spans="1:5" ht="18.75" x14ac:dyDescent="0.3">
      <c r="A1" s="3" t="s">
        <v>131</v>
      </c>
      <c r="C1" s="8">
        <f>'Endelig 2014'!B11</f>
        <v>24690500</v>
      </c>
      <c r="D1" s="8" t="s">
        <v>127</v>
      </c>
    </row>
    <row r="2" spans="1:5" x14ac:dyDescent="0.25">
      <c r="A2" s="1" t="s">
        <v>151</v>
      </c>
    </row>
    <row r="3" spans="1:5" x14ac:dyDescent="0.25">
      <c r="B3" s="7" t="s">
        <v>126</v>
      </c>
      <c r="C3" s="7" t="s">
        <v>25</v>
      </c>
      <c r="D3" s="7" t="s">
        <v>26</v>
      </c>
      <c r="E3" s="7" t="s">
        <v>16</v>
      </c>
    </row>
    <row r="4" spans="1:5" x14ac:dyDescent="0.25">
      <c r="A4" s="1" t="s">
        <v>24</v>
      </c>
      <c r="B4" s="8">
        <f>SUM(C1*0.81)</f>
        <v>19999305</v>
      </c>
      <c r="C4" s="8">
        <f>B4</f>
        <v>19999305</v>
      </c>
      <c r="D4" s="8">
        <v>803439</v>
      </c>
      <c r="E4" s="8">
        <f>SUM(C4:D4)</f>
        <v>20802744</v>
      </c>
    </row>
    <row r="5" spans="1:5" x14ac:dyDescent="0.25">
      <c r="A5" s="1" t="s">
        <v>130</v>
      </c>
      <c r="B5" s="8">
        <f>SUM(C1*0.19)</f>
        <v>4691195</v>
      </c>
      <c r="C5" s="8">
        <f>B5</f>
        <v>4691195</v>
      </c>
      <c r="D5" s="8">
        <v>188461</v>
      </c>
      <c r="E5" s="8">
        <f>SUM(C5:D5)</f>
        <v>4879656</v>
      </c>
    </row>
    <row r="6" spans="1:5" ht="15.75" thickBot="1" x14ac:dyDescent="0.3"/>
    <row r="7" spans="1:5" x14ac:dyDescent="0.25">
      <c r="A7" s="47" t="s">
        <v>17</v>
      </c>
      <c r="B7" s="44" t="s">
        <v>25</v>
      </c>
      <c r="C7" s="44" t="s">
        <v>23</v>
      </c>
      <c r="D7" s="34" t="s">
        <v>28</v>
      </c>
      <c r="E7" s="143" t="s">
        <v>148</v>
      </c>
    </row>
    <row r="8" spans="1:5" x14ac:dyDescent="0.25">
      <c r="A8" s="49" t="s">
        <v>0</v>
      </c>
      <c r="B8" s="37" t="s">
        <v>27</v>
      </c>
      <c r="C8" s="37"/>
      <c r="D8" s="37" t="s">
        <v>29</v>
      </c>
      <c r="E8" s="144" t="s">
        <v>147</v>
      </c>
    </row>
    <row r="9" spans="1:5" x14ac:dyDescent="0.25">
      <c r="A9" s="27" t="s">
        <v>122</v>
      </c>
      <c r="B9" s="113">
        <v>5.2</v>
      </c>
      <c r="C9" s="6">
        <f>B9*100/$B$26</f>
        <v>6.7027584428976521</v>
      </c>
      <c r="D9" s="23">
        <f>SUM($B$4*C9/100)</f>
        <v>1340505.1044083522</v>
      </c>
      <c r="E9" s="28">
        <f>SUM(D9-600000)</f>
        <v>740505.10440835217</v>
      </c>
    </row>
    <row r="10" spans="1:5" x14ac:dyDescent="0.25">
      <c r="A10" s="27" t="s">
        <v>3</v>
      </c>
      <c r="B10" s="113">
        <v>5.2</v>
      </c>
      <c r="C10" s="6">
        <f t="shared" ref="C10:C24" si="0">B10*100/$B$26</f>
        <v>6.7027584428976521</v>
      </c>
      <c r="D10" s="23">
        <f t="shared" ref="D10:D24" si="1">SUM($B$4*C10/100)</f>
        <v>1340505.1044083522</v>
      </c>
      <c r="E10" s="28">
        <f t="shared" ref="E10:E24" si="2">SUM(D10-600000)</f>
        <v>740505.10440835217</v>
      </c>
    </row>
    <row r="11" spans="1:5" x14ac:dyDescent="0.25">
      <c r="A11" s="27" t="s">
        <v>101</v>
      </c>
      <c r="B11" s="113">
        <v>5.2</v>
      </c>
      <c r="C11" s="6">
        <f t="shared" si="0"/>
        <v>6.7027584428976521</v>
      </c>
      <c r="D11" s="23">
        <f t="shared" si="1"/>
        <v>1340505.1044083522</v>
      </c>
      <c r="E11" s="28">
        <f t="shared" si="2"/>
        <v>740505.10440835217</v>
      </c>
    </row>
    <row r="12" spans="1:5" x14ac:dyDescent="0.25">
      <c r="A12" s="27" t="s">
        <v>2</v>
      </c>
      <c r="B12" s="113">
        <v>5.2</v>
      </c>
      <c r="C12" s="6">
        <f t="shared" si="0"/>
        <v>6.7027584428976521</v>
      </c>
      <c r="D12" s="23">
        <f t="shared" si="1"/>
        <v>1340505.1044083522</v>
      </c>
      <c r="E12" s="28">
        <f t="shared" si="2"/>
        <v>740505.10440835217</v>
      </c>
    </row>
    <row r="13" spans="1:5" x14ac:dyDescent="0.25">
      <c r="A13" s="27" t="s">
        <v>123</v>
      </c>
      <c r="B13" s="113">
        <v>4.0999999999999996</v>
      </c>
      <c r="C13" s="6">
        <f t="shared" si="0"/>
        <v>5.2848672338231477</v>
      </c>
      <c r="D13" s="23">
        <f t="shared" si="1"/>
        <v>1056936.7169373545</v>
      </c>
      <c r="E13" s="28">
        <f t="shared" si="2"/>
        <v>456936.71693735453</v>
      </c>
    </row>
    <row r="14" spans="1:5" x14ac:dyDescent="0.25">
      <c r="A14" s="27" t="s">
        <v>8</v>
      </c>
      <c r="B14" s="113">
        <v>5.2</v>
      </c>
      <c r="C14" s="6">
        <f t="shared" si="0"/>
        <v>6.7027584428976521</v>
      </c>
      <c r="D14" s="23">
        <f t="shared" si="1"/>
        <v>1340505.1044083522</v>
      </c>
      <c r="E14" s="28">
        <f t="shared" si="2"/>
        <v>740505.10440835217</v>
      </c>
    </row>
    <row r="15" spans="1:5" x14ac:dyDescent="0.25">
      <c r="A15" s="27" t="s">
        <v>9</v>
      </c>
      <c r="B15" s="113">
        <v>5.2</v>
      </c>
      <c r="C15" s="6">
        <f t="shared" si="0"/>
        <v>6.7027584428976521</v>
      </c>
      <c r="D15" s="23">
        <f t="shared" si="1"/>
        <v>1340505.1044083522</v>
      </c>
      <c r="E15" s="28">
        <f t="shared" si="2"/>
        <v>740505.10440835217</v>
      </c>
    </row>
    <row r="16" spans="1:5" x14ac:dyDescent="0.25">
      <c r="A16" s="27" t="s">
        <v>124</v>
      </c>
      <c r="B16" s="113">
        <v>5.2</v>
      </c>
      <c r="C16" s="6">
        <f t="shared" si="0"/>
        <v>6.7027584428976521</v>
      </c>
      <c r="D16" s="23">
        <f t="shared" si="1"/>
        <v>1340505.1044083522</v>
      </c>
      <c r="E16" s="28">
        <f t="shared" si="2"/>
        <v>740505.10440835217</v>
      </c>
    </row>
    <row r="17" spans="1:5" x14ac:dyDescent="0.25">
      <c r="A17" s="27" t="s">
        <v>13</v>
      </c>
      <c r="B17" s="113">
        <v>5.2</v>
      </c>
      <c r="C17" s="6">
        <f t="shared" si="0"/>
        <v>6.7027584428976521</v>
      </c>
      <c r="D17" s="23">
        <f t="shared" si="1"/>
        <v>1340505.1044083522</v>
      </c>
      <c r="E17" s="28">
        <f t="shared" si="2"/>
        <v>740505.10440835217</v>
      </c>
    </row>
    <row r="18" spans="1:5" x14ac:dyDescent="0.25">
      <c r="A18" s="27" t="s">
        <v>5</v>
      </c>
      <c r="B18" s="113">
        <v>5.2</v>
      </c>
      <c r="C18" s="6">
        <f t="shared" si="0"/>
        <v>6.7027584428976521</v>
      </c>
      <c r="D18" s="23">
        <f t="shared" si="1"/>
        <v>1340505.1044083522</v>
      </c>
      <c r="E18" s="28">
        <f t="shared" si="2"/>
        <v>740505.10440835217</v>
      </c>
    </row>
    <row r="19" spans="1:5" x14ac:dyDescent="0.25">
      <c r="A19" s="27" t="s">
        <v>7</v>
      </c>
      <c r="B19" s="113">
        <v>2.4500000000000002</v>
      </c>
      <c r="C19" s="6">
        <f t="shared" si="0"/>
        <v>3.1580304202113938</v>
      </c>
      <c r="D19" s="23">
        <f t="shared" si="1"/>
        <v>631584.13573085831</v>
      </c>
      <c r="E19" s="28">
        <f t="shared" si="2"/>
        <v>31584.13573085831</v>
      </c>
    </row>
    <row r="20" spans="1:5" x14ac:dyDescent="0.25">
      <c r="A20" s="27" t="s">
        <v>94</v>
      </c>
      <c r="B20" s="113">
        <v>4.7</v>
      </c>
      <c r="C20" s="6">
        <f t="shared" si="0"/>
        <v>6.0582624387728776</v>
      </c>
      <c r="D20" s="23">
        <f t="shared" si="1"/>
        <v>1211610.3828306261</v>
      </c>
      <c r="E20" s="28">
        <f t="shared" si="2"/>
        <v>611610.3828306261</v>
      </c>
    </row>
    <row r="21" spans="1:5" x14ac:dyDescent="0.25">
      <c r="A21" s="27" t="s">
        <v>95</v>
      </c>
      <c r="B21" s="113">
        <v>5.2</v>
      </c>
      <c r="C21" s="6">
        <f t="shared" si="0"/>
        <v>6.7027584428976521</v>
      </c>
      <c r="D21" s="23">
        <f t="shared" si="1"/>
        <v>1340505.1044083522</v>
      </c>
      <c r="E21" s="28">
        <f t="shared" si="2"/>
        <v>740505.10440835217</v>
      </c>
    </row>
    <row r="22" spans="1:5" x14ac:dyDescent="0.25">
      <c r="A22" s="27" t="s">
        <v>6</v>
      </c>
      <c r="B22" s="113">
        <v>5.2</v>
      </c>
      <c r="C22" s="6">
        <f t="shared" si="0"/>
        <v>6.7027584428976521</v>
      </c>
      <c r="D22" s="23">
        <f t="shared" si="1"/>
        <v>1340505.1044083522</v>
      </c>
      <c r="E22" s="28">
        <f t="shared" si="2"/>
        <v>740505.10440835217</v>
      </c>
    </row>
    <row r="23" spans="1:5" x14ac:dyDescent="0.25">
      <c r="A23" s="123" t="s">
        <v>10</v>
      </c>
      <c r="B23" s="113">
        <v>5.2</v>
      </c>
      <c r="C23" s="6">
        <f t="shared" si="0"/>
        <v>6.7027584428976521</v>
      </c>
      <c r="D23" s="23">
        <f t="shared" si="1"/>
        <v>1340505.1044083522</v>
      </c>
      <c r="E23" s="28">
        <f t="shared" si="2"/>
        <v>740505.10440835217</v>
      </c>
    </row>
    <row r="24" spans="1:5" x14ac:dyDescent="0.25">
      <c r="A24" s="123" t="s">
        <v>11</v>
      </c>
      <c r="B24" s="113">
        <v>3.93</v>
      </c>
      <c r="C24" s="6">
        <f t="shared" si="0"/>
        <v>5.0657385924207254</v>
      </c>
      <c r="D24" s="23">
        <f t="shared" si="1"/>
        <v>1013112.5116009277</v>
      </c>
      <c r="E24" s="28">
        <f t="shared" si="2"/>
        <v>413112.51160092768</v>
      </c>
    </row>
    <row r="25" spans="1:5" x14ac:dyDescent="0.25">
      <c r="A25" s="27"/>
      <c r="B25" s="113"/>
      <c r="C25" s="6"/>
      <c r="D25" s="20"/>
      <c r="E25" s="21"/>
    </row>
    <row r="26" spans="1:5" x14ac:dyDescent="0.25">
      <c r="A26" s="40" t="s">
        <v>14</v>
      </c>
      <c r="B26" s="131">
        <f>SUM(B9:B24)</f>
        <v>77.580000000000027</v>
      </c>
      <c r="C26" s="4">
        <f t="shared" ref="C26:D26" si="3">SUM(C9:C24)</f>
        <v>99.999999999999957</v>
      </c>
      <c r="D26" s="41">
        <f t="shared" si="3"/>
        <v>19999304.999999993</v>
      </c>
      <c r="E26" s="145">
        <f>SUM(E9:E24)</f>
        <v>10399304.999999991</v>
      </c>
    </row>
    <row r="27" spans="1:5" x14ac:dyDescent="0.25">
      <c r="A27" s="19"/>
      <c r="B27" s="115"/>
      <c r="C27" s="116"/>
      <c r="D27" s="117"/>
      <c r="E27" s="21"/>
    </row>
    <row r="28" spans="1:5" x14ac:dyDescent="0.25">
      <c r="A28" s="49" t="s">
        <v>15</v>
      </c>
      <c r="B28" s="35" t="s">
        <v>25</v>
      </c>
      <c r="C28" s="35" t="s">
        <v>23</v>
      </c>
      <c r="D28" s="37" t="s">
        <v>28</v>
      </c>
      <c r="E28" s="146" t="s">
        <v>149</v>
      </c>
    </row>
    <row r="29" spans="1:5" x14ac:dyDescent="0.25">
      <c r="A29" s="27"/>
      <c r="B29" s="37" t="s">
        <v>27</v>
      </c>
      <c r="C29" s="37"/>
      <c r="D29" s="37" t="s">
        <v>29</v>
      </c>
      <c r="E29" s="146" t="s">
        <v>150</v>
      </c>
    </row>
    <row r="30" spans="1:5" x14ac:dyDescent="0.25">
      <c r="A30" s="123" t="s">
        <v>97</v>
      </c>
      <c r="B30" s="113">
        <v>3.2</v>
      </c>
      <c r="C30" s="6">
        <f>B30*100/$B$47</f>
        <v>7.9345400446317882</v>
      </c>
      <c r="D30" s="23">
        <f>$C$5*C30/100</f>
        <v>372224.74584676424</v>
      </c>
      <c r="E30" s="28">
        <f>SUM(D30-125000)</f>
        <v>247224.74584676424</v>
      </c>
    </row>
    <row r="31" spans="1:5" x14ac:dyDescent="0.25">
      <c r="A31" s="123" t="s">
        <v>4</v>
      </c>
      <c r="B31" s="113">
        <v>3.2</v>
      </c>
      <c r="C31" s="6">
        <f>B31*100/$B$47</f>
        <v>7.9345400446317882</v>
      </c>
      <c r="D31" s="23">
        <f t="shared" ref="D31:D45" si="4">$C$5*C31/100</f>
        <v>372224.74584676424</v>
      </c>
      <c r="E31" s="28">
        <f>SUM(D31-200000)</f>
        <v>172224.74584676424</v>
      </c>
    </row>
    <row r="32" spans="1:5" x14ac:dyDescent="0.25">
      <c r="A32" s="27" t="s">
        <v>99</v>
      </c>
      <c r="B32" s="113">
        <v>3.2</v>
      </c>
      <c r="C32" s="6">
        <f t="shared" ref="C32:C45" si="5">B32*100/$B$47</f>
        <v>7.9345400446317882</v>
      </c>
      <c r="D32" s="23">
        <f t="shared" si="4"/>
        <v>372224.74584676424</v>
      </c>
      <c r="E32" s="28">
        <f>SUM(D32-200000)</f>
        <v>172224.74584676424</v>
      </c>
    </row>
    <row r="33" spans="1:5" x14ac:dyDescent="0.25">
      <c r="A33" s="27" t="s">
        <v>96</v>
      </c>
      <c r="B33" s="113">
        <v>1.8</v>
      </c>
      <c r="C33" s="6">
        <f t="shared" si="5"/>
        <v>4.4631787751053809</v>
      </c>
      <c r="D33" s="23">
        <f t="shared" si="4"/>
        <v>209376.41953880488</v>
      </c>
      <c r="E33" s="28">
        <f>SUM(D33-125000)</f>
        <v>84376.419538804883</v>
      </c>
    </row>
    <row r="34" spans="1:5" x14ac:dyDescent="0.25">
      <c r="A34" s="27" t="s">
        <v>119</v>
      </c>
      <c r="B34" s="113">
        <v>1.9</v>
      </c>
      <c r="C34" s="6">
        <f t="shared" si="5"/>
        <v>4.7111331515001238</v>
      </c>
      <c r="D34" s="23">
        <f t="shared" si="4"/>
        <v>221008.44284651623</v>
      </c>
      <c r="E34" s="28">
        <f>SUM(D34-200000)</f>
        <v>21008.442846516235</v>
      </c>
    </row>
    <row r="35" spans="1:5" x14ac:dyDescent="0.25">
      <c r="A35" s="27" t="s">
        <v>12</v>
      </c>
      <c r="B35" s="113">
        <v>3.2</v>
      </c>
      <c r="C35" s="6">
        <f t="shared" si="5"/>
        <v>7.9345400446317882</v>
      </c>
      <c r="D35" s="23">
        <f t="shared" si="4"/>
        <v>372224.74584676424</v>
      </c>
      <c r="E35" s="28">
        <f>SUM(D35-200000)</f>
        <v>172224.74584676424</v>
      </c>
    </row>
    <row r="36" spans="1:5" x14ac:dyDescent="0.25">
      <c r="A36" s="27" t="s">
        <v>102</v>
      </c>
      <c r="B36" s="113">
        <v>2.25</v>
      </c>
      <c r="C36" s="6">
        <f t="shared" si="5"/>
        <v>5.5789734688817259</v>
      </c>
      <c r="D36" s="23">
        <f t="shared" si="4"/>
        <v>261720.52442350608</v>
      </c>
      <c r="E36" s="28">
        <f>SUM(D36-175000)</f>
        <v>86720.524423506082</v>
      </c>
    </row>
    <row r="37" spans="1:5" x14ac:dyDescent="0.25">
      <c r="A37" s="27" t="s">
        <v>98</v>
      </c>
      <c r="B37" s="113">
        <v>2.5</v>
      </c>
      <c r="C37" s="6">
        <f t="shared" si="5"/>
        <v>6.1988594098685841</v>
      </c>
      <c r="D37" s="23">
        <f t="shared" si="4"/>
        <v>290800.58269278449</v>
      </c>
      <c r="E37" s="28">
        <f>SUM(D37-200000)</f>
        <v>90800.58269278449</v>
      </c>
    </row>
    <row r="38" spans="1:5" x14ac:dyDescent="0.25">
      <c r="A38" s="27" t="s">
        <v>115</v>
      </c>
      <c r="B38" s="113">
        <v>3.2</v>
      </c>
      <c r="C38" s="6">
        <f t="shared" si="5"/>
        <v>7.9345400446317882</v>
      </c>
      <c r="D38" s="23">
        <f t="shared" si="4"/>
        <v>372224.74584676424</v>
      </c>
      <c r="E38" s="28">
        <f>SUM(D38-200000)</f>
        <v>172224.74584676424</v>
      </c>
    </row>
    <row r="39" spans="1:5" x14ac:dyDescent="0.25">
      <c r="A39" s="27" t="s">
        <v>100</v>
      </c>
      <c r="B39" s="113">
        <v>2.33</v>
      </c>
      <c r="C39" s="6">
        <f t="shared" si="5"/>
        <v>5.7773369699975206</v>
      </c>
      <c r="D39" s="23">
        <f t="shared" si="4"/>
        <v>271026.14306967519</v>
      </c>
      <c r="E39" s="28">
        <f>SUM(D39-200000)</f>
        <v>71026.143069675192</v>
      </c>
    </row>
    <row r="40" spans="1:5" x14ac:dyDescent="0.25">
      <c r="A40" s="27" t="s">
        <v>117</v>
      </c>
      <c r="B40" s="113">
        <v>3.2</v>
      </c>
      <c r="C40" s="6">
        <f t="shared" si="5"/>
        <v>7.9345400446317882</v>
      </c>
      <c r="D40" s="23">
        <f t="shared" si="4"/>
        <v>372224.74584676424</v>
      </c>
      <c r="E40" s="28">
        <f>SUM(D40-200000)</f>
        <v>172224.74584676424</v>
      </c>
    </row>
    <row r="41" spans="1:5" x14ac:dyDescent="0.25">
      <c r="A41" s="27" t="s">
        <v>140</v>
      </c>
      <c r="B41" s="113">
        <v>2.02</v>
      </c>
      <c r="C41" s="6">
        <f t="shared" si="5"/>
        <v>5.0086784031738159</v>
      </c>
      <c r="D41" s="23">
        <f t="shared" si="4"/>
        <v>234966.87081576989</v>
      </c>
      <c r="E41" s="28">
        <f>SUM(D41-75000)</f>
        <v>159966.87081576989</v>
      </c>
    </row>
    <row r="42" spans="1:5" x14ac:dyDescent="0.25">
      <c r="A42" s="123" t="s">
        <v>120</v>
      </c>
      <c r="B42" s="113">
        <v>2.16</v>
      </c>
      <c r="C42" s="6">
        <f t="shared" si="5"/>
        <v>5.355814530126457</v>
      </c>
      <c r="D42" s="23">
        <f t="shared" si="4"/>
        <v>251251.70344656584</v>
      </c>
      <c r="E42" s="28">
        <f>SUM(D42-125000)</f>
        <v>126251.70344656584</v>
      </c>
    </row>
    <row r="43" spans="1:5" x14ac:dyDescent="0.25">
      <c r="A43" s="123" t="s">
        <v>125</v>
      </c>
      <c r="B43" s="113">
        <v>0.25</v>
      </c>
      <c r="C43" s="6">
        <f t="shared" si="5"/>
        <v>0.61988594098685845</v>
      </c>
      <c r="D43" s="23">
        <f t="shared" si="4"/>
        <v>29080.058269278452</v>
      </c>
      <c r="E43" s="28">
        <f>SUM(D43-75000)</f>
        <v>-45919.941730721548</v>
      </c>
    </row>
    <row r="44" spans="1:5" x14ac:dyDescent="0.25">
      <c r="A44" s="123" t="s">
        <v>104</v>
      </c>
      <c r="B44" s="113">
        <v>2.89</v>
      </c>
      <c r="C44" s="6">
        <f t="shared" si="5"/>
        <v>7.1658814778080835</v>
      </c>
      <c r="D44" s="23">
        <f t="shared" si="4"/>
        <v>336165.47359285894</v>
      </c>
      <c r="E44" s="28">
        <f>SUM(D44-200000)</f>
        <v>136165.47359285894</v>
      </c>
    </row>
    <row r="45" spans="1:5" x14ac:dyDescent="0.25">
      <c r="A45" s="123" t="s">
        <v>103</v>
      </c>
      <c r="B45" s="113">
        <v>3.03</v>
      </c>
      <c r="C45" s="6">
        <f t="shared" si="5"/>
        <v>7.5130176047607247</v>
      </c>
      <c r="D45" s="23">
        <f t="shared" si="4"/>
        <v>352450.30622365489</v>
      </c>
      <c r="E45" s="28">
        <f>SUM(D45-200000)</f>
        <v>152450.30622365489</v>
      </c>
    </row>
    <row r="46" spans="1:5" x14ac:dyDescent="0.25">
      <c r="A46" s="27"/>
      <c r="B46" s="113"/>
      <c r="C46" s="6"/>
      <c r="D46" s="20"/>
      <c r="E46" s="21"/>
    </row>
    <row r="47" spans="1:5" ht="15.75" thickBot="1" x14ac:dyDescent="0.3">
      <c r="A47" s="29" t="s">
        <v>14</v>
      </c>
      <c r="B47" s="114">
        <f>SUM(B30:B45)</f>
        <v>40.33</v>
      </c>
      <c r="C47" s="5">
        <f>SUM(C30:C45)</f>
        <v>100</v>
      </c>
      <c r="D47" s="25">
        <f>SUM(D30:D45)</f>
        <v>4691195</v>
      </c>
      <c r="E47" s="30">
        <f>SUM(E30:E45)</f>
        <v>1991195.0000000005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Endelig 2014</vt:lpstr>
      <vt:lpstr>Totalt</vt:lpstr>
      <vt:lpstr>TL Sport-AL Sport,Kommersiell</vt:lpstr>
      <vt:lpstr>TL kommersiell</vt:lpstr>
      <vt:lpstr>Utvikling</vt:lpstr>
      <vt:lpstr>'Endelig 2014'!Utskriftsområde</vt:lpstr>
      <vt:lpstr>'TL kommersiell'!Utskriftsområde</vt:lpstr>
      <vt:lpstr>'TL Sport-AL Sport,Kommersiell'!Utskriftsområde</vt:lpstr>
      <vt:lpstr>Totalt!Utskriftsområde</vt:lpstr>
      <vt:lpstr>Utvikling!Utskriftsområde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 Skistad</dc:creator>
  <cp:lastModifiedBy>Boye</cp:lastModifiedBy>
  <cp:lastPrinted>2014-11-18T10:45:55Z</cp:lastPrinted>
  <dcterms:created xsi:type="dcterms:W3CDTF">2012-11-22T13:25:02Z</dcterms:created>
  <dcterms:modified xsi:type="dcterms:W3CDTF">2014-11-18T13:04:00Z</dcterms:modified>
</cp:coreProperties>
</file>