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2900" windowHeight="7650"/>
  </bookViews>
  <sheets>
    <sheet name="FM -  2013" sheetId="4" r:id="rId1"/>
    <sheet name="Totalt 20.11" sheetId="6" r:id="rId2"/>
    <sheet name="TL Sport-AL Sport,Kommersiell" sheetId="1" r:id="rId3"/>
    <sheet name="TL kommersiell" sheetId="5" r:id="rId4"/>
    <sheet name="Utvikling" sheetId="3" r:id="rId5"/>
  </sheets>
  <definedNames>
    <definedName name="_xlnm.Print_Area" localSheetId="0">'FM -  2013'!$A$1:$E$14</definedName>
    <definedName name="_xlnm.Print_Area" localSheetId="3">'TL kommersiell'!$O$1:$W$25</definedName>
    <definedName name="_xlnm.Print_Area" localSheetId="2">'TL Sport-AL Sport,Kommersiell'!$A$1:$M$52</definedName>
    <definedName name="_xlnm.Print_Area" localSheetId="1">'Totalt 20.11'!$A$1:$J$45</definedName>
    <definedName name="_xlnm.Print_Area" localSheetId="4">Utvikling!$A$27:$E$47</definedName>
  </definedNames>
  <calcPr calcId="145621"/>
</workbook>
</file>

<file path=xl/calcChain.xml><?xml version="1.0" encoding="utf-8"?>
<calcChain xmlns="http://schemas.openxmlformats.org/spreadsheetml/2006/main">
  <c r="J10" i="5" l="1"/>
  <c r="G10" i="5"/>
  <c r="K6" i="5"/>
  <c r="H6" i="5"/>
  <c r="I52" i="5" l="1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C10" i="4" l="1"/>
  <c r="C9" i="4"/>
  <c r="C1" i="3" l="1"/>
  <c r="E37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D3" i="1"/>
  <c r="D2" i="1"/>
  <c r="C9" i="1"/>
  <c r="B9" i="1"/>
  <c r="B7" i="1"/>
  <c r="C6" i="1"/>
  <c r="B6" i="1"/>
  <c r="C5" i="1"/>
  <c r="B5" i="1"/>
  <c r="E9" i="4" l="1"/>
  <c r="B6" i="4"/>
  <c r="C6" i="4" s="1"/>
  <c r="B47" i="3" l="1"/>
  <c r="C31" i="3" s="1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7" i="5"/>
  <c r="P8" i="5"/>
  <c r="S8" i="5" s="1"/>
  <c r="T8" i="5" s="1"/>
  <c r="P9" i="5"/>
  <c r="S9" i="5" s="1"/>
  <c r="T9" i="5" s="1"/>
  <c r="P10" i="5"/>
  <c r="S10" i="5" s="1"/>
  <c r="T10" i="5" s="1"/>
  <c r="P11" i="5"/>
  <c r="S11" i="5" s="1"/>
  <c r="T11" i="5" s="1"/>
  <c r="P12" i="5"/>
  <c r="S12" i="5" s="1"/>
  <c r="T12" i="5" s="1"/>
  <c r="P13" i="5"/>
  <c r="S13" i="5" s="1"/>
  <c r="T13" i="5" s="1"/>
  <c r="P14" i="5"/>
  <c r="S14" i="5" s="1"/>
  <c r="T14" i="5" s="1"/>
  <c r="P15" i="5"/>
  <c r="S15" i="5" s="1"/>
  <c r="T15" i="5" s="1"/>
  <c r="P16" i="5"/>
  <c r="S16" i="5" s="1"/>
  <c r="T16" i="5" s="1"/>
  <c r="P17" i="5"/>
  <c r="S17" i="5" s="1"/>
  <c r="T17" i="5" s="1"/>
  <c r="P18" i="5"/>
  <c r="S18" i="5" s="1"/>
  <c r="T18" i="5" s="1"/>
  <c r="P19" i="5"/>
  <c r="S19" i="5" s="1"/>
  <c r="T19" i="5" s="1"/>
  <c r="P20" i="5"/>
  <c r="S20" i="5" s="1"/>
  <c r="T20" i="5" s="1"/>
  <c r="P21" i="5"/>
  <c r="P22" i="5"/>
  <c r="S22" i="5" s="1"/>
  <c r="T22" i="5" s="1"/>
  <c r="P7" i="5"/>
  <c r="S7" i="5" s="1"/>
  <c r="T7" i="5" s="1"/>
  <c r="U52" i="5"/>
  <c r="S21" i="5" l="1"/>
  <c r="T21" i="5" s="1"/>
  <c r="C30" i="3"/>
  <c r="C42" i="3"/>
  <c r="C44" i="3"/>
  <c r="C45" i="3"/>
  <c r="C36" i="3"/>
  <c r="C37" i="3"/>
  <c r="C43" i="3"/>
  <c r="C34" i="3"/>
  <c r="C33" i="3"/>
  <c r="C40" i="3"/>
  <c r="C39" i="3"/>
  <c r="C35" i="3"/>
  <c r="C41" i="3"/>
  <c r="C38" i="3"/>
  <c r="C32" i="3"/>
  <c r="F50" i="5"/>
  <c r="C47" i="3" l="1"/>
  <c r="C14" i="1"/>
  <c r="C15" i="1" l="1"/>
  <c r="F15" i="1" s="1"/>
  <c r="B8" i="6" s="1"/>
  <c r="C16" i="1"/>
  <c r="F16" i="1" s="1"/>
  <c r="B9" i="6" s="1"/>
  <c r="C17" i="1"/>
  <c r="F17" i="1" s="1"/>
  <c r="B10" i="6" s="1"/>
  <c r="C18" i="1"/>
  <c r="F18" i="1" s="1"/>
  <c r="B11" i="6" s="1"/>
  <c r="C19" i="1"/>
  <c r="F19" i="1" s="1"/>
  <c r="B12" i="6" s="1"/>
  <c r="C20" i="1"/>
  <c r="F20" i="1" s="1"/>
  <c r="B13" i="6" s="1"/>
  <c r="C21" i="1"/>
  <c r="F21" i="1" s="1"/>
  <c r="B14" i="6" s="1"/>
  <c r="C22" i="1"/>
  <c r="F22" i="1" s="1"/>
  <c r="B15" i="6" s="1"/>
  <c r="C23" i="1"/>
  <c r="F23" i="1" s="1"/>
  <c r="B16" i="6" s="1"/>
  <c r="C24" i="1"/>
  <c r="F24" i="1" s="1"/>
  <c r="B17" i="6" s="1"/>
  <c r="C25" i="1"/>
  <c r="F25" i="1" s="1"/>
  <c r="B18" i="6" s="1"/>
  <c r="C26" i="1"/>
  <c r="F26" i="1" s="1"/>
  <c r="B19" i="6" s="1"/>
  <c r="C27" i="1"/>
  <c r="F27" i="1" s="1"/>
  <c r="B20" i="6" s="1"/>
  <c r="C28" i="1"/>
  <c r="F28" i="1" s="1"/>
  <c r="B21" i="6" s="1"/>
  <c r="C29" i="1"/>
  <c r="F29" i="1" s="1"/>
  <c r="B22" i="6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4" i="1"/>
  <c r="F14" i="1" s="1"/>
  <c r="F31" i="1" l="1"/>
  <c r="B7" i="6"/>
  <c r="B24" i="6" s="1"/>
  <c r="D31" i="1"/>
  <c r="C31" i="1"/>
  <c r="B5" i="3" l="1"/>
  <c r="B4" i="3"/>
  <c r="D9" i="1"/>
  <c r="C8" i="1"/>
  <c r="B8" i="1"/>
  <c r="B10" i="1" s="1"/>
  <c r="D6" i="1"/>
  <c r="D7" i="1"/>
  <c r="D5" i="1"/>
  <c r="D8" i="1" l="1"/>
  <c r="D10" i="1" s="1"/>
  <c r="D45" i="1"/>
  <c r="C45" i="1"/>
  <c r="D48" i="1"/>
  <c r="D44" i="1"/>
  <c r="D36" i="1"/>
  <c r="C42" i="1"/>
  <c r="C50" i="1"/>
  <c r="D47" i="1"/>
  <c r="D39" i="1"/>
  <c r="D35" i="1"/>
  <c r="C43" i="1"/>
  <c r="C35" i="1"/>
  <c r="D50" i="1"/>
  <c r="D46" i="1"/>
  <c r="D42" i="1"/>
  <c r="D38" i="1"/>
  <c r="C36" i="1"/>
  <c r="C40" i="1"/>
  <c r="C44" i="1"/>
  <c r="C48" i="1"/>
  <c r="F50" i="1"/>
  <c r="B43" i="6" s="1"/>
  <c r="D49" i="1"/>
  <c r="D41" i="1"/>
  <c r="D37" i="1"/>
  <c r="C37" i="1"/>
  <c r="F37" i="1" s="1"/>
  <c r="B30" i="6" s="1"/>
  <c r="C41" i="1"/>
  <c r="C49" i="1"/>
  <c r="D40" i="1"/>
  <c r="C38" i="1"/>
  <c r="C46" i="1"/>
  <c r="D43" i="1"/>
  <c r="C39" i="1"/>
  <c r="C47" i="1"/>
  <c r="C10" i="1"/>
  <c r="B8" i="4"/>
  <c r="B11" i="4"/>
  <c r="F43" i="1" l="1"/>
  <c r="B36" i="6" s="1"/>
  <c r="D36" i="6" s="1"/>
  <c r="F47" i="1"/>
  <c r="B40" i="6" s="1"/>
  <c r="D40" i="6" s="1"/>
  <c r="F49" i="1"/>
  <c r="B42" i="6" s="1"/>
  <c r="F39" i="1"/>
  <c r="B32" i="6" s="1"/>
  <c r="D32" i="6" s="1"/>
  <c r="F40" i="1"/>
  <c r="B33" i="6" s="1"/>
  <c r="F44" i="1"/>
  <c r="B37" i="6" s="1"/>
  <c r="D37" i="6" s="1"/>
  <c r="D30" i="6"/>
  <c r="F35" i="1"/>
  <c r="B28" i="6" s="1"/>
  <c r="C52" i="1"/>
  <c r="F41" i="1"/>
  <c r="B34" i="6" s="1"/>
  <c r="D33" i="6"/>
  <c r="F42" i="1"/>
  <c r="B35" i="6" s="1"/>
  <c r="F38" i="1"/>
  <c r="B31" i="6" s="1"/>
  <c r="F45" i="1"/>
  <c r="B38" i="6" s="1"/>
  <c r="F46" i="1"/>
  <c r="B39" i="6" s="1"/>
  <c r="D52" i="1"/>
  <c r="F48" i="1"/>
  <c r="B41" i="6" s="1"/>
  <c r="D43" i="6"/>
  <c r="F36" i="1"/>
  <c r="B29" i="6" s="1"/>
  <c r="E52" i="1"/>
  <c r="F52" i="1" s="1"/>
  <c r="E6" i="4"/>
  <c r="D11" i="4"/>
  <c r="C11" i="4"/>
  <c r="B9" i="4"/>
  <c r="B5" i="5" s="1"/>
  <c r="C8" i="4"/>
  <c r="D6" i="4"/>
  <c r="D8" i="4" s="1"/>
  <c r="B13" i="4"/>
  <c r="D42" i="6" l="1"/>
  <c r="D39" i="6"/>
  <c r="D41" i="6"/>
  <c r="D31" i="6"/>
  <c r="D35" i="6"/>
  <c r="D34" i="6"/>
  <c r="D28" i="6"/>
  <c r="D29" i="6"/>
  <c r="D38" i="6"/>
  <c r="D9" i="4"/>
  <c r="D13" i="4" s="1"/>
  <c r="C13" i="4"/>
  <c r="D45" i="6" l="1"/>
  <c r="E13" i="4"/>
  <c r="H45" i="6"/>
  <c r="B45" i="6"/>
  <c r="H24" i="6" l="1"/>
  <c r="C5" i="3"/>
  <c r="D31" i="3" l="1"/>
  <c r="E29" i="6" s="1"/>
  <c r="D35" i="3"/>
  <c r="E33" i="6" s="1"/>
  <c r="D39" i="3"/>
  <c r="E37" i="6" s="1"/>
  <c r="D40" i="3"/>
  <c r="E38" i="6" s="1"/>
  <c r="D41" i="3"/>
  <c r="E39" i="6" s="1"/>
  <c r="D34" i="3"/>
  <c r="E32" i="6" s="1"/>
  <c r="D43" i="3"/>
  <c r="E41" i="6" s="1"/>
  <c r="D37" i="3"/>
  <c r="E35" i="6" s="1"/>
  <c r="D33" i="3"/>
  <c r="E31" i="6" s="1"/>
  <c r="D45" i="3"/>
  <c r="E43" i="6" s="1"/>
  <c r="D44" i="3"/>
  <c r="E42" i="6" s="1"/>
  <c r="D42" i="3"/>
  <c r="E40" i="6" s="1"/>
  <c r="D36" i="3"/>
  <c r="E34" i="6" s="1"/>
  <c r="D32" i="3"/>
  <c r="E30" i="6" s="1"/>
  <c r="D38" i="3"/>
  <c r="E36" i="6" s="1"/>
  <c r="D30" i="3"/>
  <c r="E28" i="6" s="1"/>
  <c r="T54" i="5"/>
  <c r="F28" i="6" l="1"/>
  <c r="E45" i="6"/>
  <c r="F40" i="6"/>
  <c r="F35" i="6"/>
  <c r="F38" i="6"/>
  <c r="F36" i="6"/>
  <c r="F42" i="6"/>
  <c r="F41" i="6"/>
  <c r="F37" i="6"/>
  <c r="F30" i="6"/>
  <c r="F43" i="6"/>
  <c r="F32" i="6"/>
  <c r="F33" i="6"/>
  <c r="F34" i="6"/>
  <c r="F31" i="6"/>
  <c r="F39" i="6"/>
  <c r="F29" i="6"/>
  <c r="I76" i="5"/>
  <c r="J73" i="5" s="1"/>
  <c r="M74" i="5"/>
  <c r="Y52" i="5" s="1"/>
  <c r="M73" i="5"/>
  <c r="Y51" i="5" s="1"/>
  <c r="C76" i="5"/>
  <c r="M72" i="5"/>
  <c r="Y50" i="5" s="1"/>
  <c r="M71" i="5"/>
  <c r="Y49" i="5" s="1"/>
  <c r="M70" i="5"/>
  <c r="Y48" i="5" s="1"/>
  <c r="M69" i="5"/>
  <c r="Y47" i="5" s="1"/>
  <c r="M68" i="5"/>
  <c r="Y46" i="5" s="1"/>
  <c r="M67" i="5"/>
  <c r="Y45" i="5" s="1"/>
  <c r="M66" i="5"/>
  <c r="Y44" i="5" s="1"/>
  <c r="M65" i="5"/>
  <c r="Y43" i="5" s="1"/>
  <c r="M64" i="5"/>
  <c r="Y42" i="5" s="1"/>
  <c r="M63" i="5"/>
  <c r="Y41" i="5" s="1"/>
  <c r="M62" i="5"/>
  <c r="Y40" i="5" s="1"/>
  <c r="M61" i="5"/>
  <c r="Y39" i="5" s="1"/>
  <c r="M60" i="5"/>
  <c r="Y38" i="5" s="1"/>
  <c r="M59" i="5"/>
  <c r="Y37" i="5" s="1"/>
  <c r="M52" i="5"/>
  <c r="W52" i="5" s="1"/>
  <c r="M51" i="5"/>
  <c r="W51" i="5" s="1"/>
  <c r="M50" i="5"/>
  <c r="W50" i="5" s="1"/>
  <c r="C54" i="5"/>
  <c r="M49" i="5"/>
  <c r="W49" i="5" s="1"/>
  <c r="M48" i="5"/>
  <c r="W48" i="5" s="1"/>
  <c r="M47" i="5"/>
  <c r="W47" i="5" s="1"/>
  <c r="M46" i="5"/>
  <c r="W46" i="5" s="1"/>
  <c r="M45" i="5"/>
  <c r="W45" i="5" s="1"/>
  <c r="M44" i="5"/>
  <c r="W44" i="5" s="1"/>
  <c r="M43" i="5"/>
  <c r="W43" i="5" s="1"/>
  <c r="M42" i="5"/>
  <c r="W42" i="5" s="1"/>
  <c r="M41" i="5"/>
  <c r="W41" i="5" s="1"/>
  <c r="M40" i="5"/>
  <c r="W40" i="5" s="1"/>
  <c r="I54" i="5"/>
  <c r="M39" i="5"/>
  <c r="W39" i="5" s="1"/>
  <c r="M38" i="5"/>
  <c r="W38" i="5" s="1"/>
  <c r="M37" i="5"/>
  <c r="W37" i="5" s="1"/>
  <c r="I32" i="5"/>
  <c r="J30" i="5" s="1"/>
  <c r="F32" i="5"/>
  <c r="G27" i="5" s="1"/>
  <c r="C32" i="5"/>
  <c r="D30" i="5" s="1"/>
  <c r="M30" i="5"/>
  <c r="M29" i="5"/>
  <c r="U51" i="5" s="1"/>
  <c r="M28" i="5"/>
  <c r="U50" i="5" s="1"/>
  <c r="M27" i="5"/>
  <c r="U49" i="5" s="1"/>
  <c r="M26" i="5"/>
  <c r="U48" i="5" s="1"/>
  <c r="M25" i="5"/>
  <c r="U47" i="5" s="1"/>
  <c r="M24" i="5"/>
  <c r="U46" i="5" s="1"/>
  <c r="M23" i="5"/>
  <c r="U45" i="5" s="1"/>
  <c r="M22" i="5"/>
  <c r="U44" i="5" s="1"/>
  <c r="M21" i="5"/>
  <c r="U43" i="5" s="1"/>
  <c r="M20" i="5"/>
  <c r="U42" i="5" s="1"/>
  <c r="M19" i="5"/>
  <c r="U41" i="5" s="1"/>
  <c r="M18" i="5"/>
  <c r="U40" i="5" s="1"/>
  <c r="M17" i="5"/>
  <c r="U39" i="5" s="1"/>
  <c r="M16" i="5"/>
  <c r="U38" i="5" s="1"/>
  <c r="M15" i="5"/>
  <c r="U37" i="5" s="1"/>
  <c r="B6" i="5"/>
  <c r="AA52" i="5" l="1"/>
  <c r="AA49" i="5"/>
  <c r="Y54" i="5"/>
  <c r="AA46" i="5"/>
  <c r="AA42" i="5"/>
  <c r="AA38" i="5"/>
  <c r="AA51" i="5"/>
  <c r="AA50" i="5"/>
  <c r="AA48" i="5"/>
  <c r="AA47" i="5"/>
  <c r="AA45" i="5"/>
  <c r="AA44" i="5"/>
  <c r="AA43" i="5"/>
  <c r="AA41" i="5"/>
  <c r="AA40" i="5"/>
  <c r="W54" i="5"/>
  <c r="AA39" i="5"/>
  <c r="U54" i="5"/>
  <c r="AA37" i="5"/>
  <c r="F45" i="6"/>
  <c r="J62" i="5"/>
  <c r="G29" i="5"/>
  <c r="G16" i="5"/>
  <c r="G17" i="5"/>
  <c r="D15" i="5"/>
  <c r="D21" i="5"/>
  <c r="G23" i="5"/>
  <c r="G15" i="5"/>
  <c r="D17" i="5"/>
  <c r="G19" i="5"/>
  <c r="G21" i="5"/>
  <c r="G18" i="5"/>
  <c r="G20" i="5"/>
  <c r="D16" i="5"/>
  <c r="D19" i="5"/>
  <c r="D42" i="5"/>
  <c r="D37" i="5"/>
  <c r="D44" i="5"/>
  <c r="D18" i="5"/>
  <c r="D20" i="5"/>
  <c r="J66" i="5"/>
  <c r="J69" i="5"/>
  <c r="J60" i="5"/>
  <c r="J64" i="5"/>
  <c r="M76" i="5"/>
  <c r="M54" i="5"/>
  <c r="D41" i="5"/>
  <c r="D40" i="5"/>
  <c r="J15" i="5"/>
  <c r="J16" i="5"/>
  <c r="J17" i="5"/>
  <c r="J18" i="5"/>
  <c r="J19" i="5"/>
  <c r="J20" i="5"/>
  <c r="J21" i="5"/>
  <c r="J22" i="5"/>
  <c r="J23" i="5"/>
  <c r="J24" i="5"/>
  <c r="J25" i="5"/>
  <c r="J26" i="5"/>
  <c r="G22" i="5"/>
  <c r="G25" i="5"/>
  <c r="G24" i="5"/>
  <c r="M32" i="5"/>
  <c r="D22" i="5"/>
  <c r="D23" i="5"/>
  <c r="D24" i="5"/>
  <c r="D25" i="5"/>
  <c r="D26" i="5"/>
  <c r="D28" i="5"/>
  <c r="D29" i="5"/>
  <c r="D27" i="5"/>
  <c r="D74" i="5"/>
  <c r="D70" i="5"/>
  <c r="D67" i="5"/>
  <c r="D65" i="5"/>
  <c r="D63" i="5"/>
  <c r="D61" i="5"/>
  <c r="D59" i="5"/>
  <c r="D69" i="5"/>
  <c r="D68" i="5"/>
  <c r="D66" i="5"/>
  <c r="D64" i="5"/>
  <c r="D62" i="5"/>
  <c r="D60" i="5"/>
  <c r="J29" i="5"/>
  <c r="J27" i="5"/>
  <c r="J43" i="5"/>
  <c r="J39" i="5"/>
  <c r="J46" i="5"/>
  <c r="J47" i="5"/>
  <c r="J48" i="5"/>
  <c r="D48" i="5"/>
  <c r="D47" i="5"/>
  <c r="D46" i="5"/>
  <c r="D45" i="5"/>
  <c r="D43" i="5"/>
  <c r="D39" i="5"/>
  <c r="D38" i="5"/>
  <c r="J49" i="5"/>
  <c r="J50" i="5"/>
  <c r="D52" i="5"/>
  <c r="J74" i="5"/>
  <c r="J72" i="5"/>
  <c r="J71" i="5"/>
  <c r="J70" i="5"/>
  <c r="J68" i="5"/>
  <c r="J67" i="5"/>
  <c r="J65" i="5"/>
  <c r="J63" i="5"/>
  <c r="J61" i="5"/>
  <c r="J59" i="5"/>
  <c r="J28" i="5"/>
  <c r="G30" i="5"/>
  <c r="L30" i="5" s="1"/>
  <c r="Q52" i="5" s="1"/>
  <c r="G28" i="5"/>
  <c r="G26" i="5"/>
  <c r="J37" i="5"/>
  <c r="J38" i="5"/>
  <c r="J40" i="5"/>
  <c r="J41" i="5"/>
  <c r="J42" i="5"/>
  <c r="J44" i="5"/>
  <c r="J45" i="5"/>
  <c r="F54" i="5"/>
  <c r="G46" i="5" s="1"/>
  <c r="D49" i="5"/>
  <c r="D50" i="5"/>
  <c r="D51" i="5"/>
  <c r="J51" i="5"/>
  <c r="J52" i="5"/>
  <c r="D71" i="5"/>
  <c r="D72" i="5"/>
  <c r="D73" i="5"/>
  <c r="F76" i="5"/>
  <c r="AA54" i="5" l="1"/>
  <c r="G28" i="6"/>
  <c r="G30" i="6"/>
  <c r="G31" i="6"/>
  <c r="G45" i="6"/>
  <c r="G42" i="6"/>
  <c r="G38" i="6"/>
  <c r="G37" i="6"/>
  <c r="G43" i="6"/>
  <c r="G29" i="6"/>
  <c r="G40" i="6"/>
  <c r="G34" i="6"/>
  <c r="G41" i="6"/>
  <c r="G32" i="6"/>
  <c r="G35" i="6"/>
  <c r="G39" i="6"/>
  <c r="G36" i="6"/>
  <c r="G33" i="6"/>
  <c r="B9" i="5"/>
  <c r="B7" i="5"/>
  <c r="B8" i="5"/>
  <c r="L17" i="5"/>
  <c r="Q39" i="5" s="1"/>
  <c r="L15" i="5"/>
  <c r="Q37" i="5" s="1"/>
  <c r="L27" i="5"/>
  <c r="Q49" i="5" s="1"/>
  <c r="L21" i="5"/>
  <c r="Q43" i="5" s="1"/>
  <c r="L16" i="5"/>
  <c r="Q38" i="5" s="1"/>
  <c r="L18" i="5"/>
  <c r="Q40" i="5" s="1"/>
  <c r="L24" i="5"/>
  <c r="Q46" i="5" s="1"/>
  <c r="L20" i="5"/>
  <c r="Q42" i="5" s="1"/>
  <c r="L19" i="5"/>
  <c r="Q41" i="5" s="1"/>
  <c r="D54" i="5"/>
  <c r="L28" i="5"/>
  <c r="Q50" i="5" s="1"/>
  <c r="J76" i="5"/>
  <c r="L23" i="5"/>
  <c r="Q45" i="5" s="1"/>
  <c r="L25" i="5"/>
  <c r="Q47" i="5" s="1"/>
  <c r="G32" i="5"/>
  <c r="L26" i="5"/>
  <c r="Q48" i="5" s="1"/>
  <c r="L29" i="5"/>
  <c r="Q51" i="5" s="1"/>
  <c r="D32" i="5"/>
  <c r="L22" i="5"/>
  <c r="Q44" i="5" s="1"/>
  <c r="G52" i="5"/>
  <c r="L52" i="5" s="1"/>
  <c r="R52" i="5" s="1"/>
  <c r="G50" i="5"/>
  <c r="L50" i="5" s="1"/>
  <c r="R50" i="5" s="1"/>
  <c r="G49" i="5"/>
  <c r="L49" i="5" s="1"/>
  <c r="R49" i="5" s="1"/>
  <c r="G44" i="5"/>
  <c r="L44" i="5" s="1"/>
  <c r="R44" i="5" s="1"/>
  <c r="G42" i="5"/>
  <c r="L42" i="5" s="1"/>
  <c r="R42" i="5" s="1"/>
  <c r="G41" i="5"/>
  <c r="L41" i="5" s="1"/>
  <c r="R41" i="5" s="1"/>
  <c r="G40" i="5"/>
  <c r="L40" i="5" s="1"/>
  <c r="R40" i="5" s="1"/>
  <c r="G37" i="5"/>
  <c r="G45" i="5"/>
  <c r="L45" i="5" s="1"/>
  <c r="R45" i="5" s="1"/>
  <c r="G43" i="5"/>
  <c r="L43" i="5" s="1"/>
  <c r="R43" i="5" s="1"/>
  <c r="G39" i="5"/>
  <c r="L39" i="5" s="1"/>
  <c r="R39" i="5" s="1"/>
  <c r="G38" i="5"/>
  <c r="L38" i="5" s="1"/>
  <c r="R38" i="5" s="1"/>
  <c r="G48" i="5"/>
  <c r="L48" i="5" s="1"/>
  <c r="R48" i="5" s="1"/>
  <c r="G47" i="5"/>
  <c r="L47" i="5" s="1"/>
  <c r="R47" i="5" s="1"/>
  <c r="L46" i="5"/>
  <c r="R46" i="5" s="1"/>
  <c r="J32" i="5"/>
  <c r="D76" i="5"/>
  <c r="G69" i="5"/>
  <c r="L69" i="5" s="1"/>
  <c r="S47" i="5" s="1"/>
  <c r="G66" i="5"/>
  <c r="L66" i="5" s="1"/>
  <c r="S44" i="5" s="1"/>
  <c r="G64" i="5"/>
  <c r="L64" i="5" s="1"/>
  <c r="S42" i="5" s="1"/>
  <c r="G62" i="5"/>
  <c r="L62" i="5" s="1"/>
  <c r="S40" i="5" s="1"/>
  <c r="G60" i="5"/>
  <c r="L60" i="5" s="1"/>
  <c r="S38" i="5" s="1"/>
  <c r="G74" i="5"/>
  <c r="L74" i="5" s="1"/>
  <c r="S52" i="5" s="1"/>
  <c r="G67" i="5"/>
  <c r="L67" i="5" s="1"/>
  <c r="S45" i="5" s="1"/>
  <c r="G65" i="5"/>
  <c r="L65" i="5" s="1"/>
  <c r="S43" i="5" s="1"/>
  <c r="G63" i="5"/>
  <c r="L63" i="5" s="1"/>
  <c r="S41" i="5" s="1"/>
  <c r="G61" i="5"/>
  <c r="L61" i="5" s="1"/>
  <c r="S39" i="5" s="1"/>
  <c r="G59" i="5"/>
  <c r="G72" i="5"/>
  <c r="L72" i="5" s="1"/>
  <c r="S50" i="5" s="1"/>
  <c r="G71" i="5"/>
  <c r="L71" i="5" s="1"/>
  <c r="S49" i="5" s="1"/>
  <c r="G70" i="5"/>
  <c r="L70" i="5" s="1"/>
  <c r="S48" i="5" s="1"/>
  <c r="G68" i="5"/>
  <c r="L68" i="5" s="1"/>
  <c r="S46" i="5" s="1"/>
  <c r="J54" i="5"/>
  <c r="G73" i="5"/>
  <c r="L73" i="5" s="1"/>
  <c r="S51" i="5" s="1"/>
  <c r="G51" i="5"/>
  <c r="L51" i="5" s="1"/>
  <c r="R51" i="5" s="1"/>
  <c r="C4" i="3"/>
  <c r="M52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5" i="1"/>
  <c r="K52" i="1"/>
  <c r="B52" i="1"/>
  <c r="B31" i="1"/>
  <c r="T52" i="5" l="1"/>
  <c r="U22" i="5" s="1"/>
  <c r="T46" i="5"/>
  <c r="U16" i="5" s="1"/>
  <c r="T49" i="5"/>
  <c r="U19" i="5" s="1"/>
  <c r="T45" i="5"/>
  <c r="U15" i="5" s="1"/>
  <c r="T50" i="5"/>
  <c r="U20" i="5" s="1"/>
  <c r="T39" i="5"/>
  <c r="U9" i="5" s="1"/>
  <c r="T44" i="5"/>
  <c r="U14" i="5" s="1"/>
  <c r="T47" i="5"/>
  <c r="U17" i="5" s="1"/>
  <c r="T40" i="5"/>
  <c r="U10" i="5" s="1"/>
  <c r="T51" i="5"/>
  <c r="U21" i="5" s="1"/>
  <c r="T41" i="5"/>
  <c r="U11" i="5" s="1"/>
  <c r="T38" i="5"/>
  <c r="U8" i="5" s="1"/>
  <c r="T48" i="5"/>
  <c r="U18" i="5" s="1"/>
  <c r="T42" i="5"/>
  <c r="U12" i="5" s="1"/>
  <c r="T43" i="5"/>
  <c r="U13" i="5" s="1"/>
  <c r="B26" i="3"/>
  <c r="L32" i="5"/>
  <c r="G76" i="5"/>
  <c r="L59" i="5"/>
  <c r="G54" i="5"/>
  <c r="L37" i="5"/>
  <c r="L52" i="1"/>
  <c r="C10" i="3" l="1"/>
  <c r="D10" i="3" s="1"/>
  <c r="E8" i="6" s="1"/>
  <c r="C20" i="3"/>
  <c r="D20" i="3" s="1"/>
  <c r="E18" i="6" s="1"/>
  <c r="C13" i="3"/>
  <c r="D13" i="3" s="1"/>
  <c r="E11" i="6" s="1"/>
  <c r="C17" i="3"/>
  <c r="D17" i="3" s="1"/>
  <c r="E15" i="6" s="1"/>
  <c r="C21" i="3"/>
  <c r="D21" i="3" s="1"/>
  <c r="E19" i="6" s="1"/>
  <c r="C9" i="3"/>
  <c r="C14" i="3"/>
  <c r="D14" i="3" s="1"/>
  <c r="E12" i="6" s="1"/>
  <c r="C18" i="3"/>
  <c r="D18" i="3" s="1"/>
  <c r="E16" i="6" s="1"/>
  <c r="C22" i="3"/>
  <c r="D22" i="3" s="1"/>
  <c r="E20" i="6" s="1"/>
  <c r="C11" i="3"/>
  <c r="D11" i="3" s="1"/>
  <c r="E9" i="6" s="1"/>
  <c r="C15" i="3"/>
  <c r="D15" i="3" s="1"/>
  <c r="E13" i="6" s="1"/>
  <c r="C19" i="3"/>
  <c r="D19" i="3" s="1"/>
  <c r="E17" i="6" s="1"/>
  <c r="C23" i="3"/>
  <c r="D23" i="3" s="1"/>
  <c r="E21" i="6" s="1"/>
  <c r="C12" i="3"/>
  <c r="D12" i="3" s="1"/>
  <c r="E10" i="6" s="1"/>
  <c r="C16" i="3"/>
  <c r="D16" i="3" s="1"/>
  <c r="E14" i="6" s="1"/>
  <c r="C24" i="3"/>
  <c r="D24" i="3" s="1"/>
  <c r="E22" i="6" s="1"/>
  <c r="L76" i="5"/>
  <c r="S37" i="5"/>
  <c r="L54" i="5"/>
  <c r="R37" i="5"/>
  <c r="D47" i="3"/>
  <c r="H33" i="6"/>
  <c r="H31" i="6"/>
  <c r="H32" i="6"/>
  <c r="H35" i="6"/>
  <c r="H36" i="6"/>
  <c r="H39" i="6"/>
  <c r="H40" i="6"/>
  <c r="H43" i="6"/>
  <c r="H42" i="6"/>
  <c r="H41" i="6"/>
  <c r="H38" i="6"/>
  <c r="H37" i="6"/>
  <c r="H34" i="6"/>
  <c r="H30" i="6"/>
  <c r="H28" i="6"/>
  <c r="H29" i="6"/>
  <c r="D9" i="3" l="1"/>
  <c r="C26" i="3"/>
  <c r="T37" i="5"/>
  <c r="U7" i="5" s="1"/>
  <c r="U24" i="5" s="1"/>
  <c r="V22" i="5" s="1"/>
  <c r="W22" i="5" s="1"/>
  <c r="C22" i="6" s="1"/>
  <c r="D22" i="6" s="1"/>
  <c r="F22" i="6" s="1"/>
  <c r="K45" i="6"/>
  <c r="I37" i="6"/>
  <c r="J37" i="6" s="1"/>
  <c r="I35" i="6"/>
  <c r="J35" i="6" s="1"/>
  <c r="I28" i="6"/>
  <c r="J28" i="6" s="1"/>
  <c r="I38" i="6"/>
  <c r="J38" i="6" s="1"/>
  <c r="I40" i="6"/>
  <c r="J40" i="6" s="1"/>
  <c r="I32" i="6"/>
  <c r="J32" i="6" s="1"/>
  <c r="I29" i="6"/>
  <c r="J29" i="6" s="1"/>
  <c r="I43" i="6"/>
  <c r="J43" i="6" s="1"/>
  <c r="I30" i="6"/>
  <c r="J30" i="6" s="1"/>
  <c r="I41" i="6"/>
  <c r="J41" i="6" s="1"/>
  <c r="I39" i="6"/>
  <c r="J39" i="6" s="1"/>
  <c r="I31" i="6"/>
  <c r="J31" i="6" s="1"/>
  <c r="I34" i="6"/>
  <c r="J34" i="6" s="1"/>
  <c r="I42" i="6"/>
  <c r="J42" i="6" s="1"/>
  <c r="I36" i="6"/>
  <c r="J36" i="6" s="1"/>
  <c r="I33" i="6"/>
  <c r="J33" i="6" s="1"/>
  <c r="E7" i="6" l="1"/>
  <c r="E24" i="6" s="1"/>
  <c r="D26" i="3"/>
  <c r="V8" i="5"/>
  <c r="W8" i="5" s="1"/>
  <c r="C8" i="6" s="1"/>
  <c r="D8" i="6" s="1"/>
  <c r="F8" i="6" s="1"/>
  <c r="V14" i="5"/>
  <c r="W14" i="5" s="1"/>
  <c r="C14" i="6" s="1"/>
  <c r="V21" i="5"/>
  <c r="W21" i="5" s="1"/>
  <c r="C21" i="6" s="1"/>
  <c r="V7" i="5"/>
  <c r="W7" i="5" s="1"/>
  <c r="C7" i="6" s="1"/>
  <c r="V9" i="5"/>
  <c r="W9" i="5" s="1"/>
  <c r="C9" i="6" s="1"/>
  <c r="V15" i="5"/>
  <c r="W15" i="5" s="1"/>
  <c r="C15" i="6" s="1"/>
  <c r="V17" i="5"/>
  <c r="W17" i="5" s="1"/>
  <c r="C17" i="6" s="1"/>
  <c r="D17" i="6" s="1"/>
  <c r="F17" i="6" s="1"/>
  <c r="V13" i="5"/>
  <c r="W13" i="5" s="1"/>
  <c r="C13" i="6" s="1"/>
  <c r="V18" i="5"/>
  <c r="W18" i="5" s="1"/>
  <c r="C18" i="6" s="1"/>
  <c r="D18" i="6" s="1"/>
  <c r="F18" i="6" s="1"/>
  <c r="V11" i="5"/>
  <c r="W11" i="5" s="1"/>
  <c r="C11" i="6" s="1"/>
  <c r="D11" i="6" s="1"/>
  <c r="F11" i="6" s="1"/>
  <c r="V16" i="5"/>
  <c r="W16" i="5" s="1"/>
  <c r="C16" i="6" s="1"/>
  <c r="V20" i="5"/>
  <c r="W20" i="5" s="1"/>
  <c r="C20" i="6" s="1"/>
  <c r="D20" i="6" s="1"/>
  <c r="F20" i="6" s="1"/>
  <c r="V12" i="5"/>
  <c r="W12" i="5" s="1"/>
  <c r="C12" i="6" s="1"/>
  <c r="D12" i="6" s="1"/>
  <c r="F12" i="6" s="1"/>
  <c r="V10" i="5"/>
  <c r="W10" i="5" s="1"/>
  <c r="C10" i="6" s="1"/>
  <c r="V19" i="5"/>
  <c r="W19" i="5" s="1"/>
  <c r="C19" i="6" s="1"/>
  <c r="D19" i="6" s="1"/>
  <c r="F19" i="6" s="1"/>
  <c r="I45" i="6"/>
  <c r="J45" i="6" s="1"/>
  <c r="D15" i="6" l="1"/>
  <c r="F15" i="6" s="1"/>
  <c r="D7" i="6"/>
  <c r="F7" i="6" s="1"/>
  <c r="D21" i="6"/>
  <c r="F21" i="6" s="1"/>
  <c r="D14" i="6"/>
  <c r="F14" i="6" s="1"/>
  <c r="D13" i="6"/>
  <c r="F13" i="6" s="1"/>
  <c r="D9" i="6"/>
  <c r="F9" i="6" s="1"/>
  <c r="D16" i="6"/>
  <c r="F16" i="6" s="1"/>
  <c r="V24" i="5"/>
  <c r="D10" i="6"/>
  <c r="F10" i="6" s="1"/>
  <c r="C24" i="6"/>
  <c r="W24" i="5"/>
  <c r="D24" i="6" l="1"/>
  <c r="F24" i="6"/>
  <c r="G24" i="6" s="1"/>
  <c r="G17" i="6" l="1"/>
  <c r="H17" i="6" s="1"/>
  <c r="I17" i="6" s="1"/>
  <c r="J17" i="6" s="1"/>
  <c r="G12" i="6"/>
  <c r="H12" i="6" s="1"/>
  <c r="I12" i="6" s="1"/>
  <c r="J12" i="6" s="1"/>
  <c r="G19" i="6"/>
  <c r="H19" i="6" s="1"/>
  <c r="I19" i="6" s="1"/>
  <c r="J19" i="6" s="1"/>
  <c r="G13" i="6"/>
  <c r="H13" i="6" s="1"/>
  <c r="I13" i="6" s="1"/>
  <c r="J13" i="6" s="1"/>
  <c r="G8" i="6"/>
  <c r="H8" i="6" s="1"/>
  <c r="I8" i="6" s="1"/>
  <c r="J8" i="6" s="1"/>
  <c r="G11" i="6"/>
  <c r="H11" i="6" s="1"/>
  <c r="I11" i="6" s="1"/>
  <c r="J11" i="6" s="1"/>
  <c r="G7" i="6"/>
  <c r="H7" i="6" s="1"/>
  <c r="I7" i="6" s="1"/>
  <c r="J7" i="6" s="1"/>
  <c r="G15" i="6"/>
  <c r="H15" i="6" s="1"/>
  <c r="I15" i="6" s="1"/>
  <c r="J15" i="6" s="1"/>
  <c r="G14" i="6"/>
  <c r="H14" i="6" s="1"/>
  <c r="I14" i="6" s="1"/>
  <c r="J14" i="6" s="1"/>
  <c r="G22" i="6"/>
  <c r="H22" i="6" s="1"/>
  <c r="I22" i="6" s="1"/>
  <c r="J22" i="6" s="1"/>
  <c r="G9" i="6"/>
  <c r="H9" i="6" s="1"/>
  <c r="I9" i="6" s="1"/>
  <c r="J9" i="6" s="1"/>
  <c r="G18" i="6"/>
  <c r="H18" i="6" s="1"/>
  <c r="I18" i="6" s="1"/>
  <c r="J18" i="6" s="1"/>
  <c r="G10" i="6"/>
  <c r="H10" i="6" s="1"/>
  <c r="I10" i="6" s="1"/>
  <c r="J10" i="6" s="1"/>
  <c r="G21" i="6"/>
  <c r="H21" i="6" s="1"/>
  <c r="I21" i="6" s="1"/>
  <c r="J21" i="6" s="1"/>
  <c r="G20" i="6"/>
  <c r="H20" i="6" s="1"/>
  <c r="I20" i="6" s="1"/>
  <c r="J20" i="6" s="1"/>
  <c r="G16" i="6"/>
  <c r="H16" i="6" s="1"/>
  <c r="I16" i="6" s="1"/>
  <c r="J16" i="6" s="1"/>
  <c r="I24" i="6" l="1"/>
  <c r="J24" i="6" s="1"/>
</calcChain>
</file>

<file path=xl/sharedStrings.xml><?xml version="1.0" encoding="utf-8"?>
<sst xmlns="http://schemas.openxmlformats.org/spreadsheetml/2006/main" count="439" uniqueCount="143">
  <si>
    <t>TL</t>
  </si>
  <si>
    <t>Molde</t>
  </si>
  <si>
    <t>Strømsgodset</t>
  </si>
  <si>
    <t>Rosenborg</t>
  </si>
  <si>
    <t>Tromsø</t>
  </si>
  <si>
    <t>Viking</t>
  </si>
  <si>
    <t>Brann</t>
  </si>
  <si>
    <t>Haugesund</t>
  </si>
  <si>
    <t>Vålerenga</t>
  </si>
  <si>
    <t>Aalesund</t>
  </si>
  <si>
    <t>Sogndal</t>
  </si>
  <si>
    <t>Sandnes Ulf</t>
  </si>
  <si>
    <t>Fredrikstad</t>
  </si>
  <si>
    <t>Stabæk</t>
  </si>
  <si>
    <t>Sum</t>
  </si>
  <si>
    <t>AL</t>
  </si>
  <si>
    <t>Totalt</t>
  </si>
  <si>
    <t>Klubb</t>
  </si>
  <si>
    <t>Tabell %</t>
  </si>
  <si>
    <t>Flatt 50%</t>
  </si>
  <si>
    <t>Plassering 50%</t>
  </si>
  <si>
    <t>Plass 5 år - 25%</t>
  </si>
  <si>
    <t>Plasseringskvotient siste 5 år</t>
  </si>
  <si>
    <t>Sum 5 år</t>
  </si>
  <si>
    <t>%</t>
  </si>
  <si>
    <t xml:space="preserve">Utvikling TL og AL </t>
  </si>
  <si>
    <t>Tippeliga totalt</t>
  </si>
  <si>
    <t>Adeccoliga totalt</t>
  </si>
  <si>
    <t>Stillinger</t>
  </si>
  <si>
    <t>Prosjekt</t>
  </si>
  <si>
    <t>totalt pr kl</t>
  </si>
  <si>
    <t>Totalt NOK</t>
  </si>
  <si>
    <t>pr klubb</t>
  </si>
  <si>
    <t>Rangering</t>
  </si>
  <si>
    <t>Tilskuere</t>
  </si>
  <si>
    <t>Medieomtale</t>
  </si>
  <si>
    <t>% andel</t>
  </si>
  <si>
    <t>Kommersiell</t>
  </si>
  <si>
    <t>Tabellplassering</t>
  </si>
  <si>
    <t>Sport</t>
  </si>
  <si>
    <t>Utvikling</t>
  </si>
  <si>
    <t>Totalt Kommersiell TL/AL</t>
  </si>
  <si>
    <t>Andel Tippeliga - 81 %</t>
  </si>
  <si>
    <t>F prosjekter</t>
  </si>
  <si>
    <t>Tilskuertall 1/3</t>
  </si>
  <si>
    <t>Ut av hovedrunde H/B 1/3</t>
  </si>
  <si>
    <t>Medieomtale 1/3</t>
  </si>
  <si>
    <t>Snitt</t>
  </si>
  <si>
    <t>Plass.</t>
  </si>
  <si>
    <t>2011</t>
  </si>
  <si>
    <t>2012</t>
  </si>
  <si>
    <t xml:space="preserve">Snitt </t>
  </si>
  <si>
    <t>Plasserings</t>
  </si>
  <si>
    <t>Tilskuertall</t>
  </si>
  <si>
    <t>Faktor</t>
  </si>
  <si>
    <t xml:space="preserve">Tilskuertall </t>
  </si>
  <si>
    <t>3år</t>
  </si>
  <si>
    <t>3 år</t>
  </si>
  <si>
    <t>11</t>
  </si>
  <si>
    <t>12</t>
  </si>
  <si>
    <t>7</t>
  </si>
  <si>
    <t>6</t>
  </si>
  <si>
    <t>8</t>
  </si>
  <si>
    <t>5</t>
  </si>
  <si>
    <t>13</t>
  </si>
  <si>
    <t>15</t>
  </si>
  <si>
    <t>14</t>
  </si>
  <si>
    <t>4</t>
  </si>
  <si>
    <t>1</t>
  </si>
  <si>
    <t>9</t>
  </si>
  <si>
    <t>3</t>
  </si>
  <si>
    <t>2</t>
  </si>
  <si>
    <t>10</t>
  </si>
  <si>
    <t>Ut av hovedrunde H/B</t>
  </si>
  <si>
    <t>snitt</t>
  </si>
  <si>
    <t>Medieomtale - web og papir</t>
  </si>
  <si>
    <t>Oppslag</t>
  </si>
  <si>
    <t>16</t>
  </si>
  <si>
    <t>snitt 3 år</t>
  </si>
  <si>
    <t>Ut av H runden</t>
  </si>
  <si>
    <t>Plass snitt</t>
  </si>
  <si>
    <t>Ut av H.runden</t>
  </si>
  <si>
    <t>Plass kvotient</t>
  </si>
  <si>
    <t xml:space="preserve">Sport </t>
  </si>
  <si>
    <t xml:space="preserve">Totalt </t>
  </si>
  <si>
    <t>til utbetaling klubb</t>
  </si>
  <si>
    <t>Modell 2013-16</t>
  </si>
  <si>
    <t>Sport og kommersiell</t>
  </si>
  <si>
    <t>Prosjekt-</t>
  </si>
  <si>
    <t>kostnader</t>
  </si>
  <si>
    <t>Rangert</t>
  </si>
  <si>
    <t>SUM</t>
  </si>
  <si>
    <t>Rang</t>
  </si>
  <si>
    <t>E-cup</t>
  </si>
  <si>
    <t>Busjett 2013</t>
  </si>
  <si>
    <t>Til fordeling</t>
  </si>
  <si>
    <t>28% fellesprosjekt TL</t>
  </si>
  <si>
    <t>Avsatt E-cupforberedelser - lån</t>
  </si>
  <si>
    <t>Til fordeling klubb</t>
  </si>
  <si>
    <t>Tippeliga</t>
  </si>
  <si>
    <t>Adeccoliga</t>
  </si>
  <si>
    <t>Komm prosjekter TL</t>
  </si>
  <si>
    <t>Sub-Total</t>
  </si>
  <si>
    <t>Start</t>
  </si>
  <si>
    <t>Bodø/Glimt</t>
  </si>
  <si>
    <t>Kristiansund</t>
  </si>
  <si>
    <t>Sandefjord</t>
  </si>
  <si>
    <t>Hødd</t>
  </si>
  <si>
    <t>Mjøndalen</t>
  </si>
  <si>
    <t>Kongsvinger</t>
  </si>
  <si>
    <t>Strømmen</t>
  </si>
  <si>
    <t>Vard</t>
  </si>
  <si>
    <t>Follo</t>
  </si>
  <si>
    <t>Elverum</t>
  </si>
  <si>
    <t>Odd</t>
  </si>
  <si>
    <t>Ranheim</t>
  </si>
  <si>
    <t>HamKam</t>
  </si>
  <si>
    <t>Ull/Kisa</t>
  </si>
  <si>
    <t>Plass 2013 - 25%</t>
  </si>
  <si>
    <t>2013</t>
  </si>
  <si>
    <t>2013 est</t>
  </si>
  <si>
    <t>Vektet</t>
  </si>
  <si>
    <t>Pr klubb</t>
  </si>
  <si>
    <t>Vektingsfaktor</t>
  </si>
  <si>
    <t>Kommersiell faktor</t>
  </si>
  <si>
    <t>Andel pr klubb</t>
  </si>
  <si>
    <t>Kr</t>
  </si>
  <si>
    <t>Mva</t>
  </si>
  <si>
    <t>inkl mva</t>
  </si>
  <si>
    <t xml:space="preserve">Netto </t>
  </si>
  <si>
    <t>eksl mva</t>
  </si>
  <si>
    <t>Utbetaling 2013 - november</t>
  </si>
  <si>
    <t>Bryne</t>
  </si>
  <si>
    <t xml:space="preserve"> Lillestrøm</t>
  </si>
  <si>
    <t>Sarpsborg 08</t>
  </si>
  <si>
    <t>Hønefoss BK</t>
  </si>
  <si>
    <t>Totalverdier 20. november 2013</t>
  </si>
  <si>
    <t>Kommersiell TL November 2013</t>
  </si>
  <si>
    <t>Pr 20. November 2013</t>
  </si>
  <si>
    <t>Sport &amp; kommersiell 20.11 2013</t>
  </si>
  <si>
    <t>Sammendrag 2011 - 11.11. 2013</t>
  </si>
  <si>
    <t xml:space="preserve">Kommersiell - rangering etter plassering 2011 - 11.11. 2013 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</si>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</sst>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</cellStyleXfs>
  <cellXfs count="140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0" fillId="0" borderId="20" xfId="0" applyBorder="1"/>
    <xf numFmtId="2" fontId="0" fillId="0" borderId="1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Fill="1" applyBorder="1"/>
    <xf numFmtId="165" fontId="0" fillId="0" borderId="19" xfId="0" applyNumberFormat="1" applyBorder="1" applyAlignment="1">
      <alignment horizontal="center"/>
    </xf>
    <xf numFmtId="0" fontId="16" fillId="0" borderId="12" xfId="0" applyFont="1" applyBorder="1"/>
    <xf numFmtId="165" fontId="0" fillId="0" borderId="0" xfId="0" applyNumberForma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5" xfId="0" applyBorder="1"/>
    <xf numFmtId="3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1" xfId="0" applyFont="1" applyBorder="1"/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16" fillId="0" borderId="13" xfId="0" applyFont="1" applyBorder="1"/>
    <xf numFmtId="3" fontId="0" fillId="0" borderId="0" xfId="0" applyNumberFormat="1" applyBorder="1"/>
    <xf numFmtId="0" fontId="16" fillId="0" borderId="1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0" fillId="0" borderId="14" xfId="0" applyNumberFormat="1" applyBorder="1"/>
    <xf numFmtId="0" fontId="16" fillId="0" borderId="13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1" xfId="0" applyBorder="1"/>
    <xf numFmtId="0" fontId="16" fillId="0" borderId="10" xfId="0" applyFont="1" applyBorder="1"/>
    <xf numFmtId="49" fontId="16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9" fontId="21" fillId="0" borderId="0" xfId="0" applyNumberFormat="1" applyFont="1" applyBorder="1" applyAlignment="1">
      <alignment horizontal="center"/>
    </xf>
    <xf numFmtId="3" fontId="16" fillId="0" borderId="0" xfId="0" applyNumberFormat="1" applyFont="1" applyBorder="1"/>
    <xf numFmtId="49" fontId="16" fillId="0" borderId="14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0" fillId="0" borderId="13" xfId="0" applyFont="1" applyBorder="1"/>
    <xf numFmtId="166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166" fontId="0" fillId="0" borderId="0" xfId="0" applyNumberFormat="1" applyBorder="1"/>
    <xf numFmtId="167" fontId="0" fillId="0" borderId="14" xfId="0" applyNumberFormat="1" applyBorder="1"/>
    <xf numFmtId="165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10" xfId="0" applyBorder="1"/>
    <xf numFmtId="49" fontId="16" fillId="0" borderId="11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15" xfId="0" applyFont="1" applyFill="1" applyBorder="1"/>
    <xf numFmtId="166" fontId="0" fillId="0" borderId="14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6" fillId="0" borderId="23" xfId="0" applyFont="1" applyBorder="1"/>
    <xf numFmtId="0" fontId="16" fillId="0" borderId="24" xfId="0" applyFont="1" applyBorder="1"/>
    <xf numFmtId="0" fontId="16" fillId="0" borderId="25" xfId="0" applyFont="1" applyBorder="1"/>
    <xf numFmtId="167" fontId="0" fillId="0" borderId="0" xfId="0" applyNumberFormat="1" applyBorder="1" applyAlignment="1">
      <alignment horizontal="center"/>
    </xf>
    <xf numFmtId="0" fontId="0" fillId="0" borderId="26" xfId="0" applyBorder="1"/>
    <xf numFmtId="0" fontId="0" fillId="0" borderId="25" xfId="0" applyFont="1" applyBorder="1"/>
    <xf numFmtId="167" fontId="0" fillId="0" borderId="26" xfId="0" applyNumberFormat="1" applyBorder="1" applyAlignment="1">
      <alignment horizontal="center"/>
    </xf>
    <xf numFmtId="0" fontId="0" fillId="0" borderId="27" xfId="0" applyFont="1" applyFill="1" applyBorder="1"/>
    <xf numFmtId="0" fontId="0" fillId="0" borderId="28" xfId="0" applyBorder="1"/>
    <xf numFmtId="167" fontId="0" fillId="0" borderId="28" xfId="0" applyNumberFormat="1" applyBorder="1" applyAlignment="1">
      <alignment horizontal="center"/>
    </xf>
    <xf numFmtId="167" fontId="0" fillId="0" borderId="29" xfId="0" applyNumberFormat="1" applyBorder="1" applyAlignment="1">
      <alignment horizontal="center"/>
    </xf>
    <xf numFmtId="0" fontId="0" fillId="0" borderId="30" xfId="0" applyBorder="1"/>
    <xf numFmtId="0" fontId="16" fillId="0" borderId="30" xfId="0" applyFont="1" applyBorder="1"/>
    <xf numFmtId="0" fontId="0" fillId="0" borderId="31" xfId="0" applyBorder="1"/>
    <xf numFmtId="0" fontId="16" fillId="0" borderId="32" xfId="0" applyFont="1" applyBorder="1"/>
    <xf numFmtId="0" fontId="0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4" fontId="0" fillId="0" borderId="2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2" fillId="0" borderId="13" xfId="0" applyFont="1" applyFill="1" applyBorder="1"/>
    <xf numFmtId="0" fontId="0" fillId="0" borderId="17" xfId="0" applyBorder="1"/>
    <xf numFmtId="3" fontId="18" fillId="0" borderId="0" xfId="0" applyNumberFormat="1" applyFont="1"/>
    <xf numFmtId="0" fontId="18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2" fillId="0" borderId="13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3" fontId="21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9" fontId="24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33" xfId="0" applyBorder="1"/>
    <xf numFmtId="0" fontId="0" fillId="0" borderId="0" xfId="0" applyFont="1" applyBorder="1"/>
    <xf numFmtId="0" fontId="19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16" fontId="16" fillId="0" borderId="1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5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4" fontId="0" fillId="0" borderId="19" xfId="0" applyNumberFormat="1" applyBorder="1" applyAlignment="1">
      <alignment horizontal="center"/>
    </xf>
  </cellXfs>
  <cellStyles count="134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ormal 10" xfId="42"/>
    <cellStyle name="Normal 11" xfId="43"/>
    <cellStyle name="Normal 12" xfId="44"/>
    <cellStyle name="Normal 13" xfId="45"/>
    <cellStyle name="Normal 14" xfId="46"/>
    <cellStyle name="Normal 15" xfId="47"/>
    <cellStyle name="Normal 2" xfId="48"/>
    <cellStyle name="Normal 2 10" xfId="49"/>
    <cellStyle name="Normal 2 11" xfId="50"/>
    <cellStyle name="Normal 2 12" xfId="51"/>
    <cellStyle name="Normal 2 13" xfId="52"/>
    <cellStyle name="Normal 2 14" xfId="53"/>
    <cellStyle name="Normal 2 15" xfId="54"/>
    <cellStyle name="Normal 2 16" xfId="55"/>
    <cellStyle name="Normal 2 17" xfId="56"/>
    <cellStyle name="Normal 2 18" xfId="57"/>
    <cellStyle name="Normal 2 19" xfId="58"/>
    <cellStyle name="Normal 2 2" xfId="59"/>
    <cellStyle name="Normal 2 20" xfId="60"/>
    <cellStyle name="Normal 2 21" xfId="61"/>
    <cellStyle name="Normal 2 22" xfId="62"/>
    <cellStyle name="Normal 2 23" xfId="63"/>
    <cellStyle name="Normal 2 24" xfId="64"/>
    <cellStyle name="Normal 2 25" xfId="65"/>
    <cellStyle name="Normal 2 26" xfId="66"/>
    <cellStyle name="Normal 2 27" xfId="67"/>
    <cellStyle name="Normal 2 28" xfId="68"/>
    <cellStyle name="Normal 2 29" xfId="69"/>
    <cellStyle name="Normal 2 3" xfId="70"/>
    <cellStyle name="Normal 2 30" xfId="71"/>
    <cellStyle name="Normal 2 31" xfId="72"/>
    <cellStyle name="Normal 2 32" xfId="73"/>
    <cellStyle name="Normal 2 33" xfId="74"/>
    <cellStyle name="Normal 2 34" xfId="75"/>
    <cellStyle name="Normal 2 35" xfId="76"/>
    <cellStyle name="Normal 2 36" xfId="77"/>
    <cellStyle name="Normal 2 37" xfId="78"/>
    <cellStyle name="Normal 2 38" xfId="79"/>
    <cellStyle name="Normal 2 39" xfId="80"/>
    <cellStyle name="Normal 2 4" xfId="81"/>
    <cellStyle name="Normal 2 40" xfId="82"/>
    <cellStyle name="Normal 2 41" xfId="83"/>
    <cellStyle name="Normal 2 42" xfId="84"/>
    <cellStyle name="Normal 2 43" xfId="85"/>
    <cellStyle name="Normal 2 44" xfId="86"/>
    <cellStyle name="Normal 2 45" xfId="87"/>
    <cellStyle name="Normal 2 46" xfId="88"/>
    <cellStyle name="Normal 2 5" xfId="89"/>
    <cellStyle name="Normal 2 6" xfId="90"/>
    <cellStyle name="Normal 2 7" xfId="91"/>
    <cellStyle name="Normal 2 8" xfId="92"/>
    <cellStyle name="Normal 2 9" xfId="93"/>
    <cellStyle name="Normal 3 10" xfId="94"/>
    <cellStyle name="Normal 3 11" xfId="95"/>
    <cellStyle name="Normal 3 12" xfId="96"/>
    <cellStyle name="Normal 3 13" xfId="97"/>
    <cellStyle name="Normal 3 14" xfId="98"/>
    <cellStyle name="Normal 3 15" xfId="99"/>
    <cellStyle name="Normal 3 16" xfId="100"/>
    <cellStyle name="Normal 3 17" xfId="101"/>
    <cellStyle name="Normal 3 18" xfId="102"/>
    <cellStyle name="Normal 3 19" xfId="103"/>
    <cellStyle name="Normal 3 2" xfId="104"/>
    <cellStyle name="Normal 3 20" xfId="105"/>
    <cellStyle name="Normal 3 21" xfId="106"/>
    <cellStyle name="Normal 3 22" xfId="107"/>
    <cellStyle name="Normal 3 23" xfId="108"/>
    <cellStyle name="Normal 3 24" xfId="109"/>
    <cellStyle name="Normal 3 25" xfId="110"/>
    <cellStyle name="Normal 3 26" xfId="111"/>
    <cellStyle name="Normal 3 27" xfId="112"/>
    <cellStyle name="Normal 3 28" xfId="113"/>
    <cellStyle name="Normal 3 29" xfId="114"/>
    <cellStyle name="Normal 3 3" xfId="115"/>
    <cellStyle name="Normal 3 30" xfId="116"/>
    <cellStyle name="Normal 3 31" xfId="117"/>
    <cellStyle name="Normal 3 32" xfId="118"/>
    <cellStyle name="Normal 3 33" xfId="119"/>
    <cellStyle name="Normal 3 34" xfId="120"/>
    <cellStyle name="Normal 3 35" xfId="121"/>
    <cellStyle name="Normal 3 4" xfId="122"/>
    <cellStyle name="Normal 3 5" xfId="123"/>
    <cellStyle name="Normal 3 6" xfId="124"/>
    <cellStyle name="Normal 3 7" xfId="125"/>
    <cellStyle name="Normal 3 8" xfId="126"/>
    <cellStyle name="Normal 3 9" xfId="127"/>
    <cellStyle name="Normal 4" xfId="128"/>
    <cellStyle name="Normal 5" xfId="129"/>
    <cellStyle name="Normal 6" xfId="130"/>
    <cellStyle name="Normal 7" xfId="131"/>
    <cellStyle name="Normal 8" xfId="132"/>
    <cellStyle name="Normal 9" xfId="133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C10" sqref="C10"/>
    </sheetView>
  </sheetViews>
  <sheetFormatPr baseColWidth="10" defaultRowHeight="15" x14ac:dyDescent="0.25"/>
  <cols>
    <col min="1" max="1" width="20.140625" customWidth="1"/>
    <col min="2" max="2" width="16" customWidth="1"/>
    <col min="3" max="3" width="13.42578125" customWidth="1"/>
    <col min="4" max="4" width="14.28515625" customWidth="1"/>
    <col min="5" max="5" width="15.28515625" customWidth="1"/>
    <col min="6" max="6" width="15.85546875" customWidth="1"/>
  </cols>
  <sheetData>
    <row r="1" spans="1:6" ht="18.75" x14ac:dyDescent="0.3">
      <c r="A1" s="3" t="s">
        <v>131</v>
      </c>
    </row>
    <row r="2" spans="1:6" s="17" customFormat="1" ht="18.75" x14ac:dyDescent="0.3">
      <c r="A2" s="3"/>
      <c r="B2" s="112" t="s">
        <v>16</v>
      </c>
      <c r="C2" s="112" t="s">
        <v>0</v>
      </c>
      <c r="D2" s="112" t="s">
        <v>15</v>
      </c>
    </row>
    <row r="3" spans="1:6" s="17" customFormat="1" ht="15.75" x14ac:dyDescent="0.25">
      <c r="A3" s="2" t="s">
        <v>94</v>
      </c>
      <c r="B3" s="114">
        <v>221000000</v>
      </c>
    </row>
    <row r="4" spans="1:6" ht="15.75" x14ac:dyDescent="0.25">
      <c r="A4" s="111" t="s">
        <v>93</v>
      </c>
      <c r="B4" s="114">
        <v>2500000</v>
      </c>
      <c r="C4" s="114"/>
      <c r="D4" s="40"/>
    </row>
    <row r="5" spans="1:6" s="17" customFormat="1" ht="15.75" x14ac:dyDescent="0.25">
      <c r="A5" s="111"/>
      <c r="B5" s="114"/>
      <c r="C5" s="113"/>
      <c r="D5" s="40"/>
    </row>
    <row r="6" spans="1:6" ht="15.75" x14ac:dyDescent="0.25">
      <c r="A6" s="1" t="s">
        <v>95</v>
      </c>
      <c r="B6" s="114">
        <f>SUM(B3-B4-C4)</f>
        <v>218500000</v>
      </c>
      <c r="C6" s="114">
        <f>SUM(B6*0.81+C4)</f>
        <v>176985000</v>
      </c>
      <c r="D6" s="9">
        <f>SUM(B6*0.19)</f>
        <v>41515000</v>
      </c>
      <c r="E6" s="40">
        <f>SUM(C6:D6)</f>
        <v>218500000</v>
      </c>
    </row>
    <row r="7" spans="1:6" s="17" customFormat="1" ht="15.75" x14ac:dyDescent="0.25">
      <c r="A7" s="1"/>
      <c r="B7" s="114"/>
      <c r="C7" s="114"/>
      <c r="D7" s="9"/>
    </row>
    <row r="8" spans="1:6" x14ac:dyDescent="0.25">
      <c r="A8" s="99" t="s">
        <v>39</v>
      </c>
      <c r="B8" s="24">
        <f>SUM(B6*0.762)</f>
        <v>166497000</v>
      </c>
      <c r="C8" s="24">
        <f t="shared" ref="C8:D8" si="0">SUM(C6*0.762)</f>
        <v>134862570</v>
      </c>
      <c r="D8" s="24">
        <f t="shared" si="0"/>
        <v>31634430</v>
      </c>
      <c r="E8" s="21"/>
      <c r="F8" s="1"/>
    </row>
    <row r="9" spans="1:6" x14ac:dyDescent="0.25">
      <c r="A9" s="23" t="s">
        <v>37</v>
      </c>
      <c r="B9" s="24">
        <f>SUM(B6*0.125)</f>
        <v>27312500</v>
      </c>
      <c r="C9" s="24">
        <f>SUM(B9*0.81*0.72+1700000)</f>
        <v>17628650</v>
      </c>
      <c r="D9" s="24">
        <f>SUM(B9*0.19)</f>
        <v>5189375</v>
      </c>
      <c r="E9" s="24">
        <f>SUM(C9+D9+C10)</f>
        <v>27312500</v>
      </c>
      <c r="F9" s="24"/>
    </row>
    <row r="10" spans="1:6" x14ac:dyDescent="0.25">
      <c r="A10" s="23" t="s">
        <v>96</v>
      </c>
      <c r="B10" s="24"/>
      <c r="C10" s="24">
        <f>SUM(B9*0.81*0.28-1700000)</f>
        <v>4494475.0000000009</v>
      </c>
      <c r="D10" s="24"/>
      <c r="E10" s="24"/>
      <c r="F10" s="24"/>
    </row>
    <row r="11" spans="1:6" x14ac:dyDescent="0.25">
      <c r="A11" s="23" t="s">
        <v>40</v>
      </c>
      <c r="B11" s="24">
        <f>SUM(B6*0.113)</f>
        <v>24690500</v>
      </c>
      <c r="C11" s="24">
        <f>SUM(B11*0.81)</f>
        <v>19999305</v>
      </c>
      <c r="D11" s="24">
        <f>SUM(B11*0.19)</f>
        <v>4691195</v>
      </c>
      <c r="E11" s="24"/>
      <c r="F11" s="24"/>
    </row>
    <row r="12" spans="1:6" x14ac:dyDescent="0.25">
      <c r="A12" s="23"/>
      <c r="B12" s="24"/>
      <c r="C12" s="24"/>
      <c r="D12" s="24"/>
      <c r="E12" s="24"/>
      <c r="F12" s="24"/>
    </row>
    <row r="13" spans="1:6" x14ac:dyDescent="0.25">
      <c r="A13" s="23" t="s">
        <v>16</v>
      </c>
      <c r="B13" s="24">
        <f>SUM(B8:B11)</f>
        <v>218500000</v>
      </c>
      <c r="C13" s="24">
        <f>SUM(C8:C11)</f>
        <v>176985000</v>
      </c>
      <c r="D13" s="24">
        <f>SUM(D8:D11)</f>
        <v>41515000</v>
      </c>
      <c r="E13" s="24">
        <f>SUM(C13:D13)</f>
        <v>218500000</v>
      </c>
      <c r="F13" s="24"/>
    </row>
    <row r="14" spans="1:6" x14ac:dyDescent="0.25">
      <c r="A14" s="23"/>
      <c r="B14" s="24"/>
      <c r="C14" s="24"/>
      <c r="D14" s="24"/>
      <c r="E14" s="24"/>
      <c r="F14" s="24"/>
    </row>
    <row r="15" spans="1:6" x14ac:dyDescent="0.25">
      <c r="A15" s="23"/>
      <c r="B15" s="24"/>
      <c r="C15" s="24"/>
      <c r="D15" s="24"/>
      <c r="E15" s="24"/>
      <c r="F15" s="24"/>
    </row>
    <row r="16" spans="1:6" x14ac:dyDescent="0.25">
      <c r="A16" s="23"/>
      <c r="B16" s="24"/>
      <c r="C16" s="24"/>
      <c r="D16" s="24"/>
      <c r="E16" s="24"/>
      <c r="F16" s="24"/>
    </row>
    <row r="17" spans="1:8" x14ac:dyDescent="0.25">
      <c r="A17" s="23"/>
      <c r="B17" s="24"/>
      <c r="C17" s="24"/>
      <c r="D17" s="24"/>
      <c r="E17" s="24"/>
      <c r="F17" s="24"/>
    </row>
    <row r="18" spans="1:8" x14ac:dyDescent="0.25">
      <c r="A18" s="23"/>
      <c r="B18" s="24"/>
      <c r="C18" s="24"/>
      <c r="D18" s="24"/>
      <c r="E18" s="24"/>
      <c r="F18" s="24"/>
    </row>
    <row r="19" spans="1:8" x14ac:dyDescent="0.25">
      <c r="A19" s="23"/>
      <c r="B19" s="24"/>
      <c r="C19" s="24"/>
      <c r="D19" s="24"/>
      <c r="E19" s="24"/>
      <c r="F19" s="24"/>
      <c r="H19" s="18"/>
    </row>
    <row r="20" spans="1:8" x14ac:dyDescent="0.25">
      <c r="A20" s="23"/>
      <c r="B20" s="24"/>
      <c r="C20" s="24"/>
      <c r="D20" s="24"/>
      <c r="E20" s="24"/>
      <c r="F20" s="24"/>
    </row>
    <row r="21" spans="1:8" x14ac:dyDescent="0.25">
      <c r="A21" s="23"/>
      <c r="B21" s="24"/>
      <c r="C21" s="24"/>
      <c r="D21" s="24"/>
      <c r="E21" s="24"/>
      <c r="F21" s="24"/>
    </row>
    <row r="22" spans="1:8" x14ac:dyDescent="0.25">
      <c r="A22" s="23"/>
      <c r="B22" s="24"/>
      <c r="C22" s="24"/>
      <c r="D22" s="24"/>
      <c r="E22" s="24"/>
      <c r="F22" s="24"/>
    </row>
    <row r="23" spans="1:8" x14ac:dyDescent="0.25">
      <c r="A23" s="23"/>
      <c r="B23" s="24"/>
      <c r="C23" s="24"/>
      <c r="D23" s="24"/>
      <c r="E23" s="24"/>
      <c r="F23" s="24"/>
    </row>
    <row r="24" spans="1:8" x14ac:dyDescent="0.25">
      <c r="A24" s="23"/>
      <c r="B24" s="24"/>
      <c r="C24" s="24"/>
      <c r="D24" s="24"/>
      <c r="E24" s="24"/>
      <c r="F24" s="24"/>
    </row>
    <row r="25" spans="1:8" x14ac:dyDescent="0.25">
      <c r="A25" s="23"/>
      <c r="B25" s="24"/>
      <c r="C25" s="24"/>
      <c r="D25" s="24"/>
      <c r="E25" s="21"/>
    </row>
    <row r="26" spans="1:8" x14ac:dyDescent="0.25">
      <c r="A26" s="23"/>
      <c r="B26" s="24"/>
      <c r="C26" s="24"/>
      <c r="D26" s="24"/>
      <c r="E26" s="24"/>
      <c r="F26" s="24"/>
    </row>
    <row r="27" spans="1:8" x14ac:dyDescent="0.25">
      <c r="A27" s="21"/>
      <c r="B27" s="24"/>
      <c r="C27" s="24"/>
      <c r="D27" s="24"/>
      <c r="E27" s="21"/>
    </row>
    <row r="28" spans="1:8" x14ac:dyDescent="0.25">
      <c r="A28" s="36"/>
      <c r="B28" s="16"/>
      <c r="C28" s="24"/>
      <c r="D28" s="16"/>
      <c r="E28" s="36"/>
    </row>
    <row r="29" spans="1:8" x14ac:dyDescent="0.25">
      <c r="A29" s="23"/>
      <c r="B29" s="21"/>
      <c r="C29" s="21"/>
      <c r="D29" s="21"/>
      <c r="E29" s="36"/>
    </row>
    <row r="30" spans="1:8" x14ac:dyDescent="0.25">
      <c r="A30" s="23"/>
      <c r="B30" s="24"/>
      <c r="C30" s="24"/>
      <c r="D30" s="24"/>
      <c r="E30" s="24"/>
      <c r="F30" s="40"/>
    </row>
    <row r="31" spans="1:8" x14ac:dyDescent="0.25">
      <c r="A31" s="23"/>
      <c r="B31" s="24"/>
      <c r="C31" s="24"/>
      <c r="D31" s="24"/>
      <c r="E31" s="24"/>
      <c r="F31" s="40"/>
    </row>
    <row r="32" spans="1:8" x14ac:dyDescent="0.25">
      <c r="A32" s="23"/>
      <c r="B32" s="24"/>
      <c r="C32" s="24"/>
      <c r="D32" s="24"/>
      <c r="E32" s="24"/>
      <c r="F32" s="40"/>
    </row>
    <row r="33" spans="1:6" x14ac:dyDescent="0.25">
      <c r="A33" s="23"/>
      <c r="B33" s="24"/>
      <c r="C33" s="24"/>
      <c r="D33" s="24"/>
      <c r="E33" s="24"/>
      <c r="F33" s="40"/>
    </row>
    <row r="34" spans="1:6" x14ac:dyDescent="0.25">
      <c r="A34" s="23"/>
      <c r="B34" s="24"/>
      <c r="C34" s="24"/>
      <c r="D34" s="24"/>
      <c r="E34" s="24"/>
      <c r="F34" s="40"/>
    </row>
    <row r="35" spans="1:6" x14ac:dyDescent="0.25">
      <c r="A35" s="23"/>
      <c r="B35" s="24"/>
      <c r="C35" s="24"/>
      <c r="D35" s="24"/>
      <c r="E35" s="24"/>
      <c r="F35" s="40"/>
    </row>
    <row r="36" spans="1:6" x14ac:dyDescent="0.25">
      <c r="A36" s="23"/>
      <c r="B36" s="24"/>
      <c r="C36" s="24"/>
      <c r="D36" s="24"/>
      <c r="E36" s="24"/>
      <c r="F36" s="40"/>
    </row>
    <row r="37" spans="1:6" x14ac:dyDescent="0.25">
      <c r="A37" s="23"/>
      <c r="B37" s="24"/>
      <c r="C37" s="24"/>
      <c r="D37" s="24"/>
      <c r="E37" s="24"/>
      <c r="F37" s="40"/>
    </row>
    <row r="38" spans="1:6" x14ac:dyDescent="0.25">
      <c r="A38" s="23"/>
      <c r="B38" s="24"/>
      <c r="C38" s="24"/>
      <c r="D38" s="24"/>
      <c r="E38" s="24"/>
      <c r="F38" s="40"/>
    </row>
    <row r="39" spans="1:6" x14ac:dyDescent="0.25">
      <c r="A39" s="23"/>
      <c r="B39" s="24"/>
      <c r="C39" s="24"/>
      <c r="D39" s="24"/>
      <c r="E39" s="24"/>
      <c r="F39" s="40"/>
    </row>
    <row r="40" spans="1:6" x14ac:dyDescent="0.25">
      <c r="A40" s="23"/>
      <c r="B40" s="24"/>
      <c r="C40" s="24"/>
      <c r="D40" s="24"/>
      <c r="E40" s="24"/>
      <c r="F40" s="40"/>
    </row>
    <row r="41" spans="1:6" x14ac:dyDescent="0.25">
      <c r="A41" s="23"/>
      <c r="B41" s="24"/>
      <c r="C41" s="24"/>
      <c r="D41" s="24"/>
      <c r="E41" s="24"/>
      <c r="F41" s="40"/>
    </row>
    <row r="42" spans="1:6" x14ac:dyDescent="0.25">
      <c r="A42" s="23"/>
      <c r="B42" s="24"/>
      <c r="C42" s="24"/>
      <c r="D42" s="24"/>
      <c r="E42" s="24"/>
      <c r="F42" s="40"/>
    </row>
    <row r="43" spans="1:6" x14ac:dyDescent="0.25">
      <c r="A43" s="23"/>
      <c r="B43" s="24"/>
      <c r="C43" s="24"/>
      <c r="D43" s="24"/>
      <c r="E43" s="24"/>
      <c r="F43" s="40"/>
    </row>
    <row r="44" spans="1:6" x14ac:dyDescent="0.25">
      <c r="A44" s="23"/>
      <c r="B44" s="24"/>
      <c r="C44" s="24"/>
      <c r="D44" s="24"/>
      <c r="E44" s="24"/>
      <c r="F44" s="40"/>
    </row>
    <row r="45" spans="1:6" x14ac:dyDescent="0.25">
      <c r="A45" s="23"/>
      <c r="B45" s="24"/>
      <c r="C45" s="24"/>
      <c r="D45" s="24"/>
      <c r="E45" s="24"/>
      <c r="F45" s="40"/>
    </row>
    <row r="46" spans="1:6" x14ac:dyDescent="0.25">
      <c r="A46" s="23"/>
      <c r="B46" s="24"/>
      <c r="C46" s="24"/>
      <c r="D46" s="24"/>
      <c r="E46" s="24"/>
    </row>
    <row r="47" spans="1:6" ht="15.75" thickBot="1" x14ac:dyDescent="0.3">
      <c r="A47" s="23"/>
      <c r="B47" s="24"/>
      <c r="C47" s="24"/>
      <c r="D47" s="24"/>
      <c r="E47" s="24"/>
      <c r="F47" s="3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workbookViewId="0">
      <selection activeCell="L8" sqref="L8"/>
    </sheetView>
  </sheetViews>
  <sheetFormatPr baseColWidth="10" defaultRowHeight="15" x14ac:dyDescent="0.25"/>
  <cols>
    <col min="1" max="1" width="19" customWidth="1"/>
    <col min="2" max="2" width="12" customWidth="1"/>
    <col min="3" max="3" width="11.85546875" customWidth="1"/>
    <col min="4" max="4" width="11.85546875" style="17" customWidth="1"/>
    <col min="7" max="7" width="15.5703125" bestFit="1" customWidth="1"/>
    <col min="9" max="9" width="11.42578125" style="17"/>
    <col min="12" max="12" width="17.85546875" bestFit="1" customWidth="1"/>
  </cols>
  <sheetData>
    <row r="1" spans="1:19" ht="18.75" x14ac:dyDescent="0.3">
      <c r="A1" s="126" t="s">
        <v>136</v>
      </c>
      <c r="B1" s="52"/>
      <c r="C1" s="52"/>
      <c r="D1" s="52"/>
      <c r="E1" s="52"/>
      <c r="F1" s="52"/>
      <c r="G1" s="52"/>
      <c r="H1" s="52"/>
      <c r="I1" s="52"/>
      <c r="J1" s="19"/>
      <c r="L1" s="1"/>
    </row>
    <row r="2" spans="1:19" ht="15.75" thickBot="1" x14ac:dyDescent="0.3">
      <c r="A2" s="25"/>
      <c r="B2" s="27"/>
      <c r="C2" s="27"/>
      <c r="D2" s="27"/>
      <c r="E2" s="27"/>
      <c r="F2" s="27"/>
      <c r="G2" s="27"/>
      <c r="H2" s="27"/>
      <c r="I2" s="27"/>
      <c r="J2" s="110"/>
      <c r="L2" s="1"/>
    </row>
    <row r="3" spans="1:19" x14ac:dyDescent="0.25">
      <c r="A3" s="53" t="s">
        <v>86</v>
      </c>
      <c r="B3" s="127"/>
      <c r="C3" s="127"/>
      <c r="D3" s="127"/>
      <c r="E3" s="127"/>
      <c r="F3" s="127"/>
      <c r="G3" s="127"/>
      <c r="H3" s="127"/>
      <c r="I3" s="127"/>
      <c r="J3" s="128"/>
      <c r="K3" s="125"/>
      <c r="L3" s="38"/>
      <c r="M3" s="125"/>
      <c r="N3" s="125"/>
      <c r="O3" s="125"/>
      <c r="P3" s="125"/>
      <c r="Q3" s="125"/>
      <c r="R3" s="125"/>
      <c r="S3" s="125"/>
    </row>
    <row r="4" spans="1:19" x14ac:dyDescent="0.25">
      <c r="A4" s="61"/>
      <c r="B4" s="36" t="s">
        <v>83</v>
      </c>
      <c r="C4" s="36" t="s">
        <v>37</v>
      </c>
      <c r="D4" s="36" t="s">
        <v>127</v>
      </c>
      <c r="E4" s="36" t="s">
        <v>40</v>
      </c>
      <c r="F4" s="36" t="s">
        <v>16</v>
      </c>
      <c r="G4" s="36" t="s">
        <v>84</v>
      </c>
      <c r="H4" s="36" t="s">
        <v>88</v>
      </c>
      <c r="I4" s="36" t="s">
        <v>127</v>
      </c>
      <c r="J4" s="37" t="s">
        <v>129</v>
      </c>
      <c r="K4" s="99"/>
      <c r="L4" s="125"/>
      <c r="M4" s="36"/>
      <c r="N4" s="36"/>
      <c r="O4" s="36"/>
      <c r="P4" s="36"/>
      <c r="Q4" s="36"/>
      <c r="R4" s="36"/>
      <c r="S4" s="36"/>
    </row>
    <row r="5" spans="1:19" x14ac:dyDescent="0.25">
      <c r="A5" s="50" t="s">
        <v>0</v>
      </c>
      <c r="B5" s="99"/>
      <c r="C5" s="99"/>
      <c r="D5" s="99"/>
      <c r="E5" s="99"/>
      <c r="F5" s="99" t="s">
        <v>128</v>
      </c>
      <c r="G5" s="36" t="s">
        <v>24</v>
      </c>
      <c r="H5" s="36" t="s">
        <v>89</v>
      </c>
      <c r="I5" s="36"/>
      <c r="J5" s="129" t="s">
        <v>142</v>
      </c>
      <c r="K5" s="99"/>
      <c r="L5" s="36"/>
      <c r="M5" s="99"/>
      <c r="N5" s="99"/>
      <c r="O5" s="99"/>
      <c r="P5" s="99"/>
      <c r="Q5" s="36"/>
      <c r="R5" s="36"/>
      <c r="S5" s="36"/>
    </row>
    <row r="6" spans="1:19" x14ac:dyDescent="0.25">
      <c r="A6" s="61"/>
      <c r="B6" s="99"/>
      <c r="C6" s="99"/>
      <c r="D6" s="99"/>
      <c r="E6" s="99"/>
      <c r="F6" s="99"/>
      <c r="G6" s="99" t="s">
        <v>130</v>
      </c>
      <c r="H6" s="99"/>
      <c r="I6" s="99"/>
      <c r="J6" s="37" t="s">
        <v>128</v>
      </c>
      <c r="K6" s="99"/>
      <c r="L6" s="125"/>
      <c r="M6" s="99"/>
      <c r="N6" s="99"/>
      <c r="O6" s="99"/>
      <c r="P6" s="99"/>
      <c r="Q6" s="99"/>
      <c r="R6" s="99"/>
      <c r="S6" s="36"/>
    </row>
    <row r="7" spans="1:19" x14ac:dyDescent="0.25">
      <c r="A7" s="28" t="s">
        <v>2</v>
      </c>
      <c r="B7" s="80">
        <f>'TL Sport-AL Sport,Kommersiell'!F14</f>
        <v>17700712.3125</v>
      </c>
      <c r="C7" s="80">
        <f>'TL kommersiell'!W7</f>
        <v>965762.94817095529</v>
      </c>
      <c r="D7" s="80">
        <f>(B7+C7)*0.25</f>
        <v>4666618.8151677391</v>
      </c>
      <c r="E7" s="80">
        <f>Utvikling!D9</f>
        <v>1196006.2792511696</v>
      </c>
      <c r="F7" s="80">
        <f>SUM(B7+C7+D7+E7)</f>
        <v>24529100.355089866</v>
      </c>
      <c r="G7" s="101">
        <f>SUM((F7-D7)/($F$24-$D$24))*100</f>
        <v>11.515114549000373</v>
      </c>
      <c r="H7" s="80">
        <f>SUM($H$24*G7/100)</f>
        <v>4010714.3974168301</v>
      </c>
      <c r="I7" s="80">
        <f>H7*0.25</f>
        <v>1002678.5993542075</v>
      </c>
      <c r="J7" s="130">
        <f>F7-H7-I7</f>
        <v>19515707.358318828</v>
      </c>
      <c r="K7" s="80"/>
      <c r="L7" s="23"/>
      <c r="M7" s="80"/>
      <c r="N7" s="80"/>
      <c r="O7" s="80"/>
      <c r="P7" s="80"/>
      <c r="Q7" s="101"/>
      <c r="R7" s="80"/>
      <c r="S7" s="80"/>
    </row>
    <row r="8" spans="1:19" x14ac:dyDescent="0.25">
      <c r="A8" s="28" t="s">
        <v>3</v>
      </c>
      <c r="B8" s="80">
        <f>'TL Sport-AL Sport,Kommersiell'!F15</f>
        <v>15003460.9125</v>
      </c>
      <c r="C8" s="80">
        <f>'TL kommersiell'!W8</f>
        <v>3430024.6947318078</v>
      </c>
      <c r="D8" s="80">
        <f t="shared" ref="D8:D22" si="0">(B8+C8)*0.25</f>
        <v>4608371.4018079517</v>
      </c>
      <c r="E8" s="80">
        <f>Utvikling!D10</f>
        <v>1274006.6887675505</v>
      </c>
      <c r="F8" s="80">
        <f t="shared" ref="F8:F22" si="1">SUM(B8+C8+D8+E8)</f>
        <v>24315863.697807312</v>
      </c>
      <c r="G8" s="101">
        <f t="shared" ref="G8:G22" si="2">SUM((F8-D8)/($F$24-$D$24))*100</f>
        <v>11.425260776497352</v>
      </c>
      <c r="H8" s="80">
        <f t="shared" ref="H8:H22" si="3">SUM($H$24*G8/100)</f>
        <v>3979418.3284540279</v>
      </c>
      <c r="I8" s="80">
        <f t="shared" ref="I8:I22" si="4">H8*0.25</f>
        <v>994854.58211350697</v>
      </c>
      <c r="J8" s="130">
        <f t="shared" ref="J8:J22" si="5">F8-H8-I8</f>
        <v>19341590.787239775</v>
      </c>
      <c r="K8" s="80"/>
      <c r="L8" s="23"/>
      <c r="M8" s="80"/>
      <c r="N8" s="80"/>
      <c r="O8" s="80"/>
      <c r="P8" s="80"/>
      <c r="Q8" s="101"/>
      <c r="R8" s="80"/>
      <c r="S8" s="80"/>
    </row>
    <row r="9" spans="1:19" x14ac:dyDescent="0.25">
      <c r="A9" s="28" t="s">
        <v>7</v>
      </c>
      <c r="B9" s="80">
        <f>'TL Sport-AL Sport,Kommersiell'!F16</f>
        <v>12306209.512499999</v>
      </c>
      <c r="C9" s="80">
        <f>'TL kommersiell'!W9</f>
        <v>370966.59463708242</v>
      </c>
      <c r="D9" s="80">
        <f t="shared" si="0"/>
        <v>3169294.0267842705</v>
      </c>
      <c r="E9" s="80">
        <f>Utvikling!D11</f>
        <v>936004.91419656773</v>
      </c>
      <c r="F9" s="80">
        <f t="shared" si="1"/>
        <v>16782475.048117921</v>
      </c>
      <c r="G9" s="101">
        <f t="shared" si="2"/>
        <v>7.892132638203547</v>
      </c>
      <c r="H9" s="80">
        <f t="shared" si="3"/>
        <v>2748829.7978862952</v>
      </c>
      <c r="I9" s="80">
        <f t="shared" si="4"/>
        <v>687207.44947157381</v>
      </c>
      <c r="J9" s="130">
        <f t="shared" si="5"/>
        <v>13346437.800760051</v>
      </c>
      <c r="K9" s="80"/>
      <c r="L9" s="23"/>
      <c r="M9" s="80"/>
      <c r="N9" s="80"/>
      <c r="O9" s="80"/>
      <c r="P9" s="80"/>
      <c r="Q9" s="101"/>
      <c r="R9" s="80"/>
      <c r="S9" s="80"/>
    </row>
    <row r="10" spans="1:19" x14ac:dyDescent="0.25">
      <c r="A10" s="28" t="s">
        <v>9</v>
      </c>
      <c r="B10" s="80">
        <f>'TL Sport-AL Sport,Kommersiell'!F17</f>
        <v>8934645.2624999993</v>
      </c>
      <c r="C10" s="80">
        <f>'TL kommersiell'!W10</f>
        <v>1065983.8961182563</v>
      </c>
      <c r="D10" s="80">
        <f t="shared" si="0"/>
        <v>2500157.2896545641</v>
      </c>
      <c r="E10" s="80">
        <f>Utvikling!D12</f>
        <v>1352007.0982839309</v>
      </c>
      <c r="F10" s="80">
        <f t="shared" si="1"/>
        <v>13852793.546556752</v>
      </c>
      <c r="G10" s="101">
        <f t="shared" si="2"/>
        <v>6.5815999208664877</v>
      </c>
      <c r="H10" s="80">
        <f t="shared" si="3"/>
        <v>2292371.2524377978</v>
      </c>
      <c r="I10" s="80">
        <f t="shared" si="4"/>
        <v>573092.81310944946</v>
      </c>
      <c r="J10" s="130">
        <f t="shared" si="5"/>
        <v>10987329.481009504</v>
      </c>
      <c r="K10" s="80"/>
      <c r="L10" s="23"/>
      <c r="M10" s="80"/>
      <c r="N10" s="80"/>
      <c r="O10" s="80"/>
      <c r="P10" s="80"/>
      <c r="Q10" s="101"/>
      <c r="R10" s="80"/>
      <c r="S10" s="80"/>
    </row>
    <row r="11" spans="1:19" x14ac:dyDescent="0.25">
      <c r="A11" s="28" t="s">
        <v>5</v>
      </c>
      <c r="B11" s="80">
        <f>'TL Sport-AL Sport,Kommersiell'!F18</f>
        <v>8260332.4124999996</v>
      </c>
      <c r="C11" s="80">
        <f>'TL kommersiell'!W11</f>
        <v>1541011.8753590388</v>
      </c>
      <c r="D11" s="80">
        <f t="shared" si="0"/>
        <v>2450336.0719647594</v>
      </c>
      <c r="E11" s="80">
        <f>Utvikling!D13</f>
        <v>1352007.0982839309</v>
      </c>
      <c r="F11" s="80">
        <f t="shared" si="1"/>
        <v>13603687.458107729</v>
      </c>
      <c r="G11" s="101">
        <f t="shared" si="2"/>
        <v>6.4660661135694086</v>
      </c>
      <c r="H11" s="80">
        <f t="shared" si="3"/>
        <v>2252130.8273562249</v>
      </c>
      <c r="I11" s="80">
        <f t="shared" si="4"/>
        <v>563032.70683905622</v>
      </c>
      <c r="J11" s="130">
        <f t="shared" si="5"/>
        <v>10788523.923912447</v>
      </c>
      <c r="K11" s="80"/>
      <c r="L11" s="23"/>
      <c r="M11" s="80"/>
      <c r="N11" s="80"/>
      <c r="O11" s="80"/>
      <c r="P11" s="80"/>
      <c r="Q11" s="101"/>
      <c r="R11" s="80"/>
      <c r="S11" s="80"/>
    </row>
    <row r="12" spans="1:19" x14ac:dyDescent="0.25">
      <c r="A12" s="28" t="s">
        <v>1</v>
      </c>
      <c r="B12" s="80">
        <f>'TL Sport-AL Sport,Kommersiell'!F19</f>
        <v>7923175.9874999998</v>
      </c>
      <c r="C12" s="80">
        <f>'TL kommersiell'!W12</f>
        <v>2032174.4910559314</v>
      </c>
      <c r="D12" s="80">
        <f t="shared" si="0"/>
        <v>2488837.6196389827</v>
      </c>
      <c r="E12" s="80">
        <f>Utvikling!D14</f>
        <v>1352007.0982839309</v>
      </c>
      <c r="F12" s="80">
        <f t="shared" si="1"/>
        <v>13796195.196478846</v>
      </c>
      <c r="G12" s="101">
        <f t="shared" si="2"/>
        <v>6.5553499688402379</v>
      </c>
      <c r="H12" s="80">
        <f t="shared" si="3"/>
        <v>2283228.3941470548</v>
      </c>
      <c r="I12" s="80">
        <f t="shared" si="4"/>
        <v>570807.09853676369</v>
      </c>
      <c r="J12" s="130">
        <f t="shared" si="5"/>
        <v>10942159.703795027</v>
      </c>
      <c r="K12" s="80"/>
      <c r="L12" s="23"/>
      <c r="M12" s="80"/>
      <c r="N12" s="80"/>
      <c r="O12" s="80"/>
      <c r="P12" s="80"/>
      <c r="Q12" s="101"/>
      <c r="R12" s="80"/>
      <c r="S12" s="80"/>
    </row>
    <row r="13" spans="1:19" x14ac:dyDescent="0.25">
      <c r="A13" s="28" t="s">
        <v>114</v>
      </c>
      <c r="B13" s="80">
        <f>'TL Sport-AL Sport,Kommersiell'!F20</f>
        <v>7586019.5625</v>
      </c>
      <c r="C13" s="80">
        <f>'TL kommersiell'!W13</f>
        <v>533517.67741147312</v>
      </c>
      <c r="D13" s="80">
        <f t="shared" si="0"/>
        <v>2029884.3099778683</v>
      </c>
      <c r="E13" s="80">
        <f>Utvikling!D15</f>
        <v>1352007.0982839309</v>
      </c>
      <c r="F13" s="80">
        <f t="shared" si="1"/>
        <v>11501428.648173273</v>
      </c>
      <c r="G13" s="101">
        <f t="shared" si="2"/>
        <v>5.4910519509378295</v>
      </c>
      <c r="H13" s="80">
        <f t="shared" si="3"/>
        <v>1912533.3945116461</v>
      </c>
      <c r="I13" s="80">
        <f t="shared" si="4"/>
        <v>478133.34862791153</v>
      </c>
      <c r="J13" s="130">
        <f t="shared" si="5"/>
        <v>9110761.9050337151</v>
      </c>
      <c r="K13" s="80"/>
      <c r="L13" s="23"/>
      <c r="M13" s="80"/>
      <c r="N13" s="80"/>
      <c r="O13" s="80"/>
      <c r="P13" s="80"/>
      <c r="Q13" s="101"/>
      <c r="R13" s="80"/>
      <c r="S13" s="80"/>
    </row>
    <row r="14" spans="1:19" x14ac:dyDescent="0.25">
      <c r="A14" s="28" t="s">
        <v>6</v>
      </c>
      <c r="B14" s="80">
        <f>'TL Sport-AL Sport,Kommersiell'!F21</f>
        <v>7248863.1375000002</v>
      </c>
      <c r="C14" s="80">
        <f>'TL kommersiell'!W14</f>
        <v>2423178.4388642893</v>
      </c>
      <c r="D14" s="80">
        <f t="shared" si="0"/>
        <v>2418010.3940910725</v>
      </c>
      <c r="E14" s="80">
        <f>Utvikling!D16</f>
        <v>1352007.0982839309</v>
      </c>
      <c r="F14" s="80">
        <f t="shared" si="1"/>
        <v>13442059.068739295</v>
      </c>
      <c r="G14" s="101">
        <f t="shared" si="2"/>
        <v>6.3911039024596983</v>
      </c>
      <c r="H14" s="80">
        <f t="shared" si="3"/>
        <v>2226021.4892267128</v>
      </c>
      <c r="I14" s="80">
        <f t="shared" si="4"/>
        <v>556505.37230667821</v>
      </c>
      <c r="J14" s="130">
        <f t="shared" si="5"/>
        <v>10659532.207205903</v>
      </c>
      <c r="K14" s="80"/>
      <c r="L14" s="23"/>
      <c r="M14" s="80"/>
      <c r="N14" s="80"/>
      <c r="O14" s="80"/>
      <c r="P14" s="80"/>
      <c r="Q14" s="101"/>
      <c r="R14" s="80"/>
      <c r="S14" s="80"/>
    </row>
    <row r="15" spans="1:19" x14ac:dyDescent="0.25">
      <c r="A15" s="28" t="s">
        <v>103</v>
      </c>
      <c r="B15" s="80">
        <f>'TL Sport-AL Sport,Kommersiell'!F22</f>
        <v>6911706.7125000004</v>
      </c>
      <c r="C15" s="80">
        <f>'TL kommersiell'!W15</f>
        <v>567426.36898656737</v>
      </c>
      <c r="D15" s="80">
        <f t="shared" si="0"/>
        <v>1869783.270371642</v>
      </c>
      <c r="E15" s="80">
        <f>Utvikling!D17</f>
        <v>1110205.828783151</v>
      </c>
      <c r="F15" s="80">
        <f t="shared" si="1"/>
        <v>10459122.180641361</v>
      </c>
      <c r="G15" s="101">
        <f t="shared" si="2"/>
        <v>4.9796004216867678</v>
      </c>
      <c r="H15" s="80">
        <f t="shared" si="3"/>
        <v>1734394.8268735013</v>
      </c>
      <c r="I15" s="80">
        <f t="shared" si="4"/>
        <v>433598.70671837532</v>
      </c>
      <c r="J15" s="130">
        <f t="shared" si="5"/>
        <v>8291128.6470494838</v>
      </c>
      <c r="K15" s="80"/>
      <c r="L15" s="23"/>
      <c r="M15" s="80"/>
      <c r="N15" s="80"/>
      <c r="O15" s="80"/>
      <c r="P15" s="80"/>
      <c r="Q15" s="101"/>
      <c r="R15" s="80"/>
      <c r="S15" s="80"/>
    </row>
    <row r="16" spans="1:19" x14ac:dyDescent="0.25">
      <c r="A16" s="28" t="s">
        <v>133</v>
      </c>
      <c r="B16" s="80">
        <f>'TL Sport-AL Sport,Kommersiell'!F23</f>
        <v>6911706.7125000004</v>
      </c>
      <c r="C16" s="80">
        <f>'TL kommersiell'!W16</f>
        <v>984160.13122270117</v>
      </c>
      <c r="D16" s="80">
        <f t="shared" si="0"/>
        <v>1973966.7109306753</v>
      </c>
      <c r="E16" s="80">
        <f>Utvikling!D18</f>
        <v>1352007.0982839309</v>
      </c>
      <c r="F16" s="80">
        <f t="shared" si="1"/>
        <v>11221840.652937308</v>
      </c>
      <c r="G16" s="101">
        <f t="shared" si="2"/>
        <v>5.3613808306320783</v>
      </c>
      <c r="H16" s="80">
        <f t="shared" si="3"/>
        <v>1867368.9433091527</v>
      </c>
      <c r="I16" s="80">
        <f t="shared" si="4"/>
        <v>466842.23582728818</v>
      </c>
      <c r="J16" s="130">
        <f t="shared" si="5"/>
        <v>8887629.4738008678</v>
      </c>
      <c r="K16" s="80"/>
      <c r="L16" s="23"/>
      <c r="M16" s="80"/>
      <c r="N16" s="80"/>
      <c r="O16" s="80"/>
      <c r="P16" s="80"/>
      <c r="Q16" s="101"/>
      <c r="R16" s="80"/>
      <c r="S16" s="80"/>
    </row>
    <row r="17" spans="1:19" x14ac:dyDescent="0.25">
      <c r="A17" s="28" t="s">
        <v>8</v>
      </c>
      <c r="B17" s="80">
        <f>'TL Sport-AL Sport,Kommersiell'!F24</f>
        <v>6574550.2874999996</v>
      </c>
      <c r="C17" s="80">
        <f>'TL kommersiell'!W17</f>
        <v>2223965.662983072</v>
      </c>
      <c r="D17" s="80">
        <f t="shared" si="0"/>
        <v>2199628.9876207681</v>
      </c>
      <c r="E17" s="80">
        <f>Utvikling!D19</f>
        <v>1352007.0982839309</v>
      </c>
      <c r="F17" s="80">
        <f t="shared" si="1"/>
        <v>12350152.036387771</v>
      </c>
      <c r="G17" s="101">
        <f t="shared" si="2"/>
        <v>5.8846844189076499</v>
      </c>
      <c r="H17" s="80">
        <f t="shared" si="3"/>
        <v>2049635.5831055345</v>
      </c>
      <c r="I17" s="80">
        <f t="shared" si="4"/>
        <v>512408.89577638364</v>
      </c>
      <c r="J17" s="130">
        <f t="shared" si="5"/>
        <v>9788107.5575058535</v>
      </c>
      <c r="K17" s="80"/>
      <c r="L17" s="23"/>
      <c r="M17" s="80"/>
      <c r="N17" s="80"/>
      <c r="O17" s="80"/>
      <c r="P17" s="80"/>
      <c r="Q17" s="101"/>
      <c r="R17" s="80"/>
      <c r="S17" s="80"/>
    </row>
    <row r="18" spans="1:19" x14ac:dyDescent="0.25">
      <c r="A18" s="28" t="s">
        <v>10</v>
      </c>
      <c r="B18" s="80">
        <f>'TL Sport-AL Sport,Kommersiell'!F25</f>
        <v>6574550.2874999996</v>
      </c>
      <c r="C18" s="80">
        <f>'TL kommersiell'!W18</f>
        <v>156647.00686871633</v>
      </c>
      <c r="D18" s="80">
        <f t="shared" si="0"/>
        <v>1682799.323592179</v>
      </c>
      <c r="E18" s="80">
        <f>Utvikling!D20</f>
        <v>1300006.8252730106</v>
      </c>
      <c r="F18" s="80">
        <f t="shared" si="1"/>
        <v>9714003.4432339054</v>
      </c>
      <c r="G18" s="101">
        <f t="shared" si="2"/>
        <v>4.6560262481905754</v>
      </c>
      <c r="H18" s="80">
        <f t="shared" si="3"/>
        <v>1621693.9422447775</v>
      </c>
      <c r="I18" s="80">
        <f t="shared" si="4"/>
        <v>405423.48556119436</v>
      </c>
      <c r="J18" s="130">
        <f t="shared" si="5"/>
        <v>7686886.015427934</v>
      </c>
      <c r="K18" s="80"/>
      <c r="L18" s="23"/>
      <c r="M18" s="80"/>
      <c r="N18" s="80"/>
      <c r="O18" s="80"/>
      <c r="P18" s="80"/>
      <c r="Q18" s="101"/>
      <c r="R18" s="80"/>
      <c r="S18" s="80"/>
    </row>
    <row r="19" spans="1:19" x14ac:dyDescent="0.25">
      <c r="A19" s="28" t="s">
        <v>11</v>
      </c>
      <c r="B19" s="80">
        <f>'TL Sport-AL Sport,Kommersiell'!F26</f>
        <v>6237393.8624999998</v>
      </c>
      <c r="C19" s="80">
        <f>'TL kommersiell'!W19</f>
        <v>211918.19713249989</v>
      </c>
      <c r="D19" s="80">
        <f t="shared" si="0"/>
        <v>1612328.0149081249</v>
      </c>
      <c r="E19" s="80">
        <f>Utvikling!D21</f>
        <v>1196006.2792511696</v>
      </c>
      <c r="F19" s="80">
        <f t="shared" si="1"/>
        <v>9257646.3537917938</v>
      </c>
      <c r="G19" s="101">
        <f t="shared" si="2"/>
        <v>4.4323120582325721</v>
      </c>
      <c r="H19" s="80">
        <f t="shared" si="3"/>
        <v>1543774.2898824047</v>
      </c>
      <c r="I19" s="80">
        <f t="shared" si="4"/>
        <v>385943.57247060118</v>
      </c>
      <c r="J19" s="130">
        <f t="shared" si="5"/>
        <v>7327928.4914387874</v>
      </c>
      <c r="K19" s="80"/>
      <c r="L19" s="23"/>
      <c r="M19" s="80"/>
      <c r="N19" s="80"/>
      <c r="O19" s="80"/>
      <c r="P19" s="80"/>
      <c r="Q19" s="101"/>
      <c r="R19" s="80"/>
      <c r="S19" s="80"/>
    </row>
    <row r="20" spans="1:19" x14ac:dyDescent="0.25">
      <c r="A20" s="28" t="s">
        <v>134</v>
      </c>
      <c r="B20" s="80">
        <f>'TL Sport-AL Sport,Kommersiell'!F27</f>
        <v>5563081.0125000002</v>
      </c>
      <c r="C20" s="80">
        <f>'TL kommersiell'!W20</f>
        <v>122413.40482185653</v>
      </c>
      <c r="D20" s="80">
        <f t="shared" si="0"/>
        <v>1421373.6043304643</v>
      </c>
      <c r="E20" s="80">
        <f>Utvikling!D22</f>
        <v>871004.57293291716</v>
      </c>
      <c r="F20" s="80">
        <f t="shared" si="1"/>
        <v>7977872.594585238</v>
      </c>
      <c r="G20" s="101">
        <f t="shared" si="2"/>
        <v>3.8010777636944257</v>
      </c>
      <c r="H20" s="80">
        <f t="shared" si="3"/>
        <v>1323915.3850947686</v>
      </c>
      <c r="I20" s="80">
        <f t="shared" si="4"/>
        <v>330978.84627369215</v>
      </c>
      <c r="J20" s="130">
        <f t="shared" si="5"/>
        <v>6322978.3632167773</v>
      </c>
      <c r="K20" s="80"/>
      <c r="L20" s="23"/>
      <c r="M20" s="80"/>
      <c r="N20" s="80"/>
      <c r="O20" s="80"/>
      <c r="P20" s="80"/>
      <c r="Q20" s="101"/>
      <c r="R20" s="80"/>
      <c r="S20" s="80"/>
    </row>
    <row r="21" spans="1:19" x14ac:dyDescent="0.25">
      <c r="A21" s="28" t="s">
        <v>4</v>
      </c>
      <c r="B21" s="80">
        <f>'TL Sport-AL Sport,Kommersiell'!F28</f>
        <v>5563081.0125000002</v>
      </c>
      <c r="C21" s="80">
        <f>'TL kommersiell'!W21</f>
        <v>928684.70834110444</v>
      </c>
      <c r="D21" s="80">
        <f t="shared" si="0"/>
        <v>1622941.430210276</v>
      </c>
      <c r="E21" s="80">
        <f>Utvikling!D23</f>
        <v>1352007.0982839309</v>
      </c>
      <c r="F21" s="80">
        <f t="shared" si="1"/>
        <v>9466714.2493353114</v>
      </c>
      <c r="G21" s="101">
        <f t="shared" si="2"/>
        <v>4.5473644532794104</v>
      </c>
      <c r="H21" s="80">
        <f t="shared" si="3"/>
        <v>1583847.0390772189</v>
      </c>
      <c r="I21" s="80">
        <f t="shared" si="4"/>
        <v>395961.75976930471</v>
      </c>
      <c r="J21" s="130">
        <f t="shared" si="5"/>
        <v>7486905.4504887881</v>
      </c>
      <c r="K21" s="80"/>
      <c r="L21" s="23"/>
      <c r="M21" s="80"/>
      <c r="N21" s="80"/>
      <c r="O21" s="80"/>
      <c r="P21" s="80"/>
      <c r="Q21" s="101"/>
      <c r="R21" s="80"/>
      <c r="S21" s="80"/>
    </row>
    <row r="22" spans="1:19" x14ac:dyDescent="0.25">
      <c r="A22" s="28" t="s">
        <v>135</v>
      </c>
      <c r="B22" s="80">
        <f>'TL Sport-AL Sport,Kommersiell'!F29</f>
        <v>5563081.0125000002</v>
      </c>
      <c r="C22" s="80">
        <f>'TL kommersiell'!W22</f>
        <v>70813.903294648684</v>
      </c>
      <c r="D22" s="80">
        <f t="shared" si="0"/>
        <v>1408473.7289486623</v>
      </c>
      <c r="E22" s="80">
        <f>Utvikling!D24</f>
        <v>1300006.8252730106</v>
      </c>
      <c r="F22" s="80">
        <f t="shared" si="1"/>
        <v>8342375.4700163221</v>
      </c>
      <c r="G22" s="101">
        <f t="shared" si="2"/>
        <v>4.0198739850015883</v>
      </c>
      <c r="H22" s="80">
        <f t="shared" si="3"/>
        <v>1400122.1089760533</v>
      </c>
      <c r="I22" s="80">
        <f t="shared" si="4"/>
        <v>350030.52724401333</v>
      </c>
      <c r="J22" s="130">
        <f t="shared" si="5"/>
        <v>6592222.8337962553</v>
      </c>
      <c r="K22" s="80"/>
      <c r="L22" s="23"/>
      <c r="M22" s="80"/>
      <c r="N22" s="80"/>
      <c r="O22" s="80"/>
      <c r="P22" s="80"/>
      <c r="Q22" s="101"/>
      <c r="R22" s="80"/>
      <c r="S22" s="80"/>
    </row>
    <row r="23" spans="1:19" x14ac:dyDescent="0.25">
      <c r="A23" s="131"/>
      <c r="B23" s="80"/>
      <c r="C23" s="80"/>
      <c r="D23" s="80"/>
      <c r="E23" s="80"/>
      <c r="F23" s="80"/>
      <c r="G23" s="101"/>
      <c r="H23" s="80"/>
      <c r="I23" s="80"/>
      <c r="J23" s="130"/>
      <c r="K23" s="80"/>
      <c r="L23" s="99"/>
      <c r="M23" s="80"/>
      <c r="N23" s="80"/>
      <c r="O23" s="80"/>
      <c r="P23" s="80"/>
      <c r="Q23" s="101"/>
      <c r="R23" s="80"/>
      <c r="S23" s="80"/>
    </row>
    <row r="24" spans="1:19" x14ac:dyDescent="0.25">
      <c r="A24" s="132" t="s">
        <v>14</v>
      </c>
      <c r="B24" s="103">
        <f>SUM(B7:B22)</f>
        <v>134862570</v>
      </c>
      <c r="C24" s="103">
        <f>SUM(C7:C22)</f>
        <v>17628650</v>
      </c>
      <c r="D24" s="103">
        <f>SUM(D7:D22)</f>
        <v>38122805</v>
      </c>
      <c r="E24" s="103">
        <f>SUM(E7:E22)</f>
        <v>19999304.999999996</v>
      </c>
      <c r="F24" s="103">
        <f>SUM(F7:F22)</f>
        <v>210613330</v>
      </c>
      <c r="G24" s="104">
        <f t="shared" ref="G24" si="6">SUM(F24/$F$24*100)</f>
        <v>100</v>
      </c>
      <c r="H24" s="103">
        <f>SUM(43000000*0.81)</f>
        <v>34830000</v>
      </c>
      <c r="I24" s="103">
        <f>SUM(I7:I22)</f>
        <v>8707500.0000000019</v>
      </c>
      <c r="J24" s="133">
        <f>F24-H24-I24</f>
        <v>167075830</v>
      </c>
      <c r="K24" s="80"/>
      <c r="L24" s="99"/>
      <c r="M24" s="80"/>
      <c r="N24" s="80"/>
      <c r="O24" s="80"/>
      <c r="P24" s="80"/>
      <c r="Q24" s="101"/>
      <c r="R24" s="80"/>
      <c r="S24" s="80"/>
    </row>
    <row r="25" spans="1:19" x14ac:dyDescent="0.25">
      <c r="A25" s="61"/>
      <c r="B25" s="80"/>
      <c r="C25" s="80"/>
      <c r="D25" s="80"/>
      <c r="E25" s="80"/>
      <c r="F25" s="80"/>
      <c r="G25" s="80"/>
      <c r="H25" s="80"/>
      <c r="I25" s="80"/>
      <c r="J25" s="134"/>
      <c r="K25" s="80"/>
      <c r="L25" s="80"/>
      <c r="M25" s="66"/>
      <c r="N25" s="102"/>
      <c r="O25" s="40"/>
      <c r="P25" s="40"/>
      <c r="Q25" s="39"/>
    </row>
    <row r="26" spans="1:19" x14ac:dyDescent="0.25">
      <c r="A26" s="50" t="s">
        <v>15</v>
      </c>
      <c r="B26" s="100" t="s">
        <v>87</v>
      </c>
      <c r="C26" s="80"/>
      <c r="D26" s="80"/>
      <c r="E26" s="80"/>
      <c r="F26" s="80"/>
      <c r="G26" s="80"/>
      <c r="H26" s="80"/>
      <c r="I26" s="80"/>
      <c r="J26" s="134"/>
      <c r="K26" s="80"/>
      <c r="L26" s="80"/>
      <c r="M26" s="66"/>
      <c r="N26" s="102"/>
      <c r="O26" s="40"/>
      <c r="P26" s="40"/>
      <c r="Q26" s="39"/>
    </row>
    <row r="27" spans="1:19" x14ac:dyDescent="0.25">
      <c r="A27" s="131"/>
      <c r="B27" s="80"/>
      <c r="C27" s="80"/>
      <c r="D27" s="80"/>
      <c r="E27" s="80"/>
      <c r="F27" s="80"/>
      <c r="G27" s="80"/>
      <c r="H27" s="80"/>
      <c r="I27" s="80"/>
      <c r="J27" s="134"/>
      <c r="K27" s="80"/>
      <c r="L27" s="80"/>
      <c r="M27" s="66"/>
      <c r="N27" s="102"/>
      <c r="O27" s="40"/>
      <c r="P27" s="40"/>
      <c r="Q27" s="39"/>
    </row>
    <row r="28" spans="1:19" x14ac:dyDescent="0.25">
      <c r="A28" s="28" t="s">
        <v>104</v>
      </c>
      <c r="B28" s="80">
        <f>'TL Sport-AL Sport,Kommersiell'!F35</f>
        <v>3636350.7437499999</v>
      </c>
      <c r="C28" s="80"/>
      <c r="D28" s="80">
        <f>B28*0.25</f>
        <v>909087.68593749998</v>
      </c>
      <c r="E28" s="80">
        <f>Utvikling!D30</f>
        <v>454215.55219364609</v>
      </c>
      <c r="F28" s="80">
        <f t="shared" ref="F28:F43" si="7">SUM(B28+C28+D28+E28)</f>
        <v>4999653.9818811463</v>
      </c>
      <c r="G28" s="101">
        <f>SUM((F28-D28)/($F$45-$D$45)*100)</f>
        <v>9.8532248487140723</v>
      </c>
      <c r="H28" s="80">
        <f>SUM($H$45*G28/100)</f>
        <v>805008.47013993969</v>
      </c>
      <c r="I28" s="80">
        <f>H28*0.25</f>
        <v>201252.11753498492</v>
      </c>
      <c r="J28" s="130">
        <f t="shared" ref="J28:J45" si="8">F28-H28-I28</f>
        <v>3993393.3942062221</v>
      </c>
      <c r="K28" s="80"/>
      <c r="L28" s="80"/>
      <c r="M28" s="66"/>
      <c r="N28" s="102"/>
      <c r="O28" s="40"/>
      <c r="P28" s="40"/>
      <c r="Q28" s="39"/>
    </row>
    <row r="29" spans="1:19" x14ac:dyDescent="0.25">
      <c r="A29" s="28" t="s">
        <v>13</v>
      </c>
      <c r="B29" s="80">
        <f>'TL Sport-AL Sport,Kommersiell'!F36</f>
        <v>4464886.3562500002</v>
      </c>
      <c r="C29" s="80"/>
      <c r="D29" s="80">
        <f t="shared" ref="D29:D43" si="9">B29*0.25</f>
        <v>1116221.5890625</v>
      </c>
      <c r="E29" s="80">
        <f>Utvikling!D31</f>
        <v>454215.55219364609</v>
      </c>
      <c r="F29" s="80">
        <f t="shared" si="7"/>
        <v>6035323.4975061463</v>
      </c>
      <c r="G29" s="101">
        <f t="shared" ref="G29:G43" si="10">SUM((F29-D29)/($F$45-$D$45)*100)</f>
        <v>11.848974848714073</v>
      </c>
      <c r="H29" s="80">
        <f t="shared" ref="H29:H43" si="11">SUM($H$45*G29/100)</f>
        <v>968061.24513993983</v>
      </c>
      <c r="I29" s="80">
        <f t="shared" ref="I29:I43" si="12">H29*0.25</f>
        <v>242015.31128498496</v>
      </c>
      <c r="J29" s="130">
        <f t="shared" si="8"/>
        <v>4825246.9410812212</v>
      </c>
      <c r="K29" s="80"/>
      <c r="L29" s="80"/>
      <c r="M29" s="66"/>
      <c r="N29" s="102"/>
      <c r="O29" s="40"/>
      <c r="P29" s="40"/>
      <c r="Q29" s="39"/>
    </row>
    <row r="30" spans="1:19" x14ac:dyDescent="0.25">
      <c r="A30" s="28" t="s">
        <v>107</v>
      </c>
      <c r="B30" s="80">
        <f>'TL Sport-AL Sport,Kommersiell'!F37</f>
        <v>2623696.1062499997</v>
      </c>
      <c r="C30" s="80"/>
      <c r="D30" s="80">
        <f t="shared" si="9"/>
        <v>655924.02656249993</v>
      </c>
      <c r="E30" s="80">
        <f>Utvikling!D32</f>
        <v>265432.21331316198</v>
      </c>
      <c r="F30" s="80">
        <f t="shared" si="7"/>
        <v>3545052.3461256614</v>
      </c>
      <c r="G30" s="101">
        <f t="shared" si="10"/>
        <v>6.9592395990922844</v>
      </c>
      <c r="H30" s="80">
        <f t="shared" si="11"/>
        <v>568569.87524583971</v>
      </c>
      <c r="I30" s="80">
        <f t="shared" si="12"/>
        <v>142142.46881145993</v>
      </c>
      <c r="J30" s="130">
        <f t="shared" si="8"/>
        <v>2834340.0020683617</v>
      </c>
      <c r="K30" s="80"/>
      <c r="L30" s="80"/>
      <c r="M30" s="66"/>
      <c r="N30" s="102"/>
      <c r="O30" s="40"/>
      <c r="P30" s="40"/>
      <c r="Q30" s="39"/>
    </row>
    <row r="31" spans="1:19" x14ac:dyDescent="0.25">
      <c r="A31" s="28" t="s">
        <v>115</v>
      </c>
      <c r="B31" s="80">
        <f>'TL Sport-AL Sport,Kommersiell'!F38</f>
        <v>2347517.5687499996</v>
      </c>
      <c r="C31" s="80"/>
      <c r="D31" s="80">
        <f t="shared" si="9"/>
        <v>586879.39218749991</v>
      </c>
      <c r="E31" s="80">
        <f>Utvikling!D33</f>
        <v>227107.77609682304</v>
      </c>
      <c r="F31" s="80">
        <f t="shared" si="7"/>
        <v>3161504.7370343227</v>
      </c>
      <c r="G31" s="101">
        <f t="shared" si="10"/>
        <v>6.201674924357035</v>
      </c>
      <c r="H31" s="80">
        <f t="shared" si="11"/>
        <v>506676.84131996974</v>
      </c>
      <c r="I31" s="80">
        <f t="shared" si="12"/>
        <v>126669.21032999243</v>
      </c>
      <c r="J31" s="130">
        <f t="shared" si="8"/>
        <v>2528158.6853843606</v>
      </c>
      <c r="K31" s="80"/>
      <c r="L31" s="80"/>
      <c r="M31" s="66"/>
      <c r="N31" s="102"/>
      <c r="O31" s="40"/>
      <c r="P31" s="40"/>
      <c r="Q31" s="39"/>
    </row>
    <row r="32" spans="1:19" x14ac:dyDescent="0.25">
      <c r="A32" s="28" t="s">
        <v>116</v>
      </c>
      <c r="B32" s="80">
        <f>'TL Sport-AL Sport,Kommersiell'!F39</f>
        <v>2163398.5437500002</v>
      </c>
      <c r="C32" s="80"/>
      <c r="D32" s="80">
        <f t="shared" si="9"/>
        <v>540849.63593750005</v>
      </c>
      <c r="E32" s="80">
        <f>Utvikling!D34</f>
        <v>383244.37216338888</v>
      </c>
      <c r="F32" s="80">
        <f t="shared" si="7"/>
        <v>3087492.5518508889</v>
      </c>
      <c r="G32" s="101">
        <f t="shared" si="10"/>
        <v>6.1342717473524981</v>
      </c>
      <c r="H32" s="80">
        <f t="shared" si="11"/>
        <v>501170.00175869913</v>
      </c>
      <c r="I32" s="80">
        <f t="shared" si="12"/>
        <v>125292.50043967478</v>
      </c>
      <c r="J32" s="130">
        <f t="shared" si="8"/>
        <v>2461030.049652515</v>
      </c>
      <c r="K32" s="80"/>
      <c r="L32" s="80"/>
      <c r="M32" s="66"/>
      <c r="N32" s="102"/>
      <c r="O32" s="40"/>
      <c r="P32" s="40"/>
      <c r="Q32" s="39"/>
    </row>
    <row r="33" spans="1:17" x14ac:dyDescent="0.25">
      <c r="A33" s="28" t="s">
        <v>108</v>
      </c>
      <c r="B33" s="80">
        <f>'TL Sport-AL Sport,Kommersiell'!F40</f>
        <v>2209428.2999999998</v>
      </c>
      <c r="C33" s="80"/>
      <c r="D33" s="80">
        <f t="shared" si="9"/>
        <v>552357.07499999995</v>
      </c>
      <c r="E33" s="80">
        <f>Utvikling!D35</f>
        <v>454215.55219364609</v>
      </c>
      <c r="F33" s="80">
        <f t="shared" si="7"/>
        <v>3216000.9271936463</v>
      </c>
      <c r="G33" s="101">
        <f t="shared" si="10"/>
        <v>6.4160998487140715</v>
      </c>
      <c r="H33" s="80">
        <f t="shared" si="11"/>
        <v>524195.35763993964</v>
      </c>
      <c r="I33" s="80">
        <f t="shared" si="12"/>
        <v>131048.83940998491</v>
      </c>
      <c r="J33" s="130">
        <f t="shared" si="8"/>
        <v>2560756.7301437217</v>
      </c>
      <c r="K33" s="80"/>
      <c r="L33" s="80"/>
      <c r="M33" s="66"/>
      <c r="N33" s="102"/>
      <c r="O33" s="40"/>
      <c r="P33" s="40"/>
      <c r="Q33" s="39"/>
    </row>
    <row r="34" spans="1:17" x14ac:dyDescent="0.25">
      <c r="A34" s="28" t="s">
        <v>132</v>
      </c>
      <c r="B34" s="80">
        <f>'TL Sport-AL Sport,Kommersiell'!F41</f>
        <v>2117368.7875000001</v>
      </c>
      <c r="C34" s="80"/>
      <c r="D34" s="80">
        <f t="shared" si="9"/>
        <v>529342.19687500002</v>
      </c>
      <c r="E34" s="80">
        <f>Utvikling!D36</f>
        <v>447118.43419062044</v>
      </c>
      <c r="F34" s="80">
        <f t="shared" si="7"/>
        <v>3093829.4185656207</v>
      </c>
      <c r="G34" s="101">
        <f t="shared" si="10"/>
        <v>6.1772545385779143</v>
      </c>
      <c r="H34" s="80">
        <f t="shared" si="11"/>
        <v>504681.6958018156</v>
      </c>
      <c r="I34" s="80">
        <f t="shared" si="12"/>
        <v>126170.4239504539</v>
      </c>
      <c r="J34" s="130">
        <f t="shared" si="8"/>
        <v>2462977.2988133514</v>
      </c>
      <c r="K34" s="80"/>
      <c r="L34" s="80"/>
      <c r="M34" s="66"/>
      <c r="N34" s="102"/>
      <c r="O34" s="40"/>
      <c r="P34" s="40"/>
      <c r="Q34" s="39"/>
    </row>
    <row r="35" spans="1:17" x14ac:dyDescent="0.25">
      <c r="A35" s="28" t="s">
        <v>106</v>
      </c>
      <c r="B35" s="80">
        <f>'TL Sport-AL Sport,Kommersiell'!F42</f>
        <v>2715755.6187499999</v>
      </c>
      <c r="C35" s="80"/>
      <c r="D35" s="80">
        <f t="shared" si="9"/>
        <v>678938.90468749998</v>
      </c>
      <c r="E35" s="80">
        <f>Utvikling!D37</f>
        <v>127748.12405446297</v>
      </c>
      <c r="F35" s="80">
        <f t="shared" si="7"/>
        <v>3522442.6474919631</v>
      </c>
      <c r="G35" s="101">
        <f t="shared" si="10"/>
        <v>6.8493405824508331</v>
      </c>
      <c r="H35" s="80">
        <f t="shared" si="11"/>
        <v>559591.1255862331</v>
      </c>
      <c r="I35" s="80">
        <f t="shared" si="12"/>
        <v>139897.78139655828</v>
      </c>
      <c r="J35" s="130">
        <f t="shared" si="8"/>
        <v>2822953.740509172</v>
      </c>
      <c r="K35" s="80"/>
      <c r="L35" s="80"/>
      <c r="M35" s="66"/>
      <c r="N35" s="102"/>
      <c r="O35" s="40"/>
      <c r="P35" s="40"/>
      <c r="Q35" s="39"/>
    </row>
    <row r="36" spans="1:17" x14ac:dyDescent="0.25">
      <c r="A36" s="28" t="s">
        <v>105</v>
      </c>
      <c r="B36" s="80">
        <f>'TL Sport-AL Sport,Kommersiell'!F43</f>
        <v>1795160.4937499999</v>
      </c>
      <c r="C36" s="80"/>
      <c r="D36" s="80">
        <f t="shared" si="9"/>
        <v>448790.12343749998</v>
      </c>
      <c r="E36" s="80">
        <f>Utvikling!D38</f>
        <v>134845.24205748868</v>
      </c>
      <c r="F36" s="80">
        <f t="shared" si="7"/>
        <v>2378795.8592449888</v>
      </c>
      <c r="G36" s="101">
        <f t="shared" si="10"/>
        <v>4.6489358925869899</v>
      </c>
      <c r="H36" s="80">
        <f t="shared" si="11"/>
        <v>379818.06242435711</v>
      </c>
      <c r="I36" s="80">
        <f t="shared" si="12"/>
        <v>94954.515606089277</v>
      </c>
      <c r="J36" s="130">
        <f t="shared" si="8"/>
        <v>1904023.2812145425</v>
      </c>
      <c r="K36" s="80"/>
      <c r="L36" s="80"/>
      <c r="M36" s="66"/>
      <c r="N36" s="102"/>
      <c r="O36" s="40"/>
      <c r="P36" s="40"/>
      <c r="Q36" s="39"/>
    </row>
    <row r="37" spans="1:17" x14ac:dyDescent="0.25">
      <c r="A37" s="28" t="s">
        <v>12</v>
      </c>
      <c r="B37" s="80">
        <f>'TL Sport-AL Sport,Kommersiell'!F44</f>
        <v>2991934.15625</v>
      </c>
      <c r="C37" s="80"/>
      <c r="D37" s="80">
        <f t="shared" si="9"/>
        <v>747983.5390625</v>
      </c>
      <c r="E37" s="80">
        <f>Utvikling!D39</f>
        <v>407374.57337367639</v>
      </c>
      <c r="F37" s="80">
        <f t="shared" si="7"/>
        <v>4147292.2686861763</v>
      </c>
      <c r="G37" s="101">
        <f t="shared" si="10"/>
        <v>8.1881458018154323</v>
      </c>
      <c r="H37" s="80">
        <f t="shared" si="11"/>
        <v>668971.51200832089</v>
      </c>
      <c r="I37" s="80">
        <f t="shared" si="12"/>
        <v>167242.87800208022</v>
      </c>
      <c r="J37" s="130">
        <f t="shared" si="8"/>
        <v>3311077.8786757751</v>
      </c>
      <c r="K37" s="80"/>
      <c r="L37" s="80"/>
      <c r="M37" s="66"/>
      <c r="N37" s="102"/>
      <c r="O37" s="40"/>
      <c r="P37" s="40"/>
      <c r="Q37" s="39"/>
    </row>
    <row r="38" spans="1:17" x14ac:dyDescent="0.25">
      <c r="A38" s="28" t="s">
        <v>110</v>
      </c>
      <c r="B38" s="80">
        <f>'TL Sport-AL Sport,Kommersiell'!F45</f>
        <v>1795160.4937499999</v>
      </c>
      <c r="C38" s="80"/>
      <c r="D38" s="80">
        <f t="shared" si="9"/>
        <v>448790.12343749998</v>
      </c>
      <c r="E38" s="80">
        <f>Utvikling!D40</f>
        <v>414471.6913767021</v>
      </c>
      <c r="F38" s="80">
        <f t="shared" si="7"/>
        <v>2658422.3085642019</v>
      </c>
      <c r="G38" s="101">
        <f t="shared" si="10"/>
        <v>5.3224911119515887</v>
      </c>
      <c r="H38" s="80">
        <f t="shared" si="11"/>
        <v>434847.52384644479</v>
      </c>
      <c r="I38" s="80">
        <f t="shared" si="12"/>
        <v>108711.8809616112</v>
      </c>
      <c r="J38" s="130">
        <f t="shared" si="8"/>
        <v>2114862.9037561459</v>
      </c>
      <c r="K38" s="80"/>
      <c r="L38" s="80"/>
      <c r="M38" s="66"/>
      <c r="N38" s="102"/>
      <c r="O38" s="40"/>
      <c r="P38" s="40"/>
      <c r="Q38" s="39"/>
    </row>
    <row r="39" spans="1:17" x14ac:dyDescent="0.25">
      <c r="A39" s="28" t="s">
        <v>117</v>
      </c>
      <c r="B39" s="80">
        <f>'TL Sport-AL Sport,Kommersiell'!F46</f>
        <v>1703100.9812500002</v>
      </c>
      <c r="C39" s="80"/>
      <c r="D39" s="80">
        <f t="shared" si="9"/>
        <v>425775.24531250005</v>
      </c>
      <c r="E39" s="80">
        <f>Utvikling!D41</f>
        <v>305176.07413010602</v>
      </c>
      <c r="F39" s="80">
        <f t="shared" si="7"/>
        <v>2434052.3006926058</v>
      </c>
      <c r="G39" s="101">
        <f t="shared" si="10"/>
        <v>4.8374733358547664</v>
      </c>
      <c r="H39" s="80">
        <f t="shared" si="11"/>
        <v>395221.57153933443</v>
      </c>
      <c r="I39" s="80">
        <f t="shared" si="12"/>
        <v>98805.392884833607</v>
      </c>
      <c r="J39" s="130">
        <f t="shared" si="8"/>
        <v>1940025.3362684378</v>
      </c>
      <c r="K39" s="80"/>
      <c r="L39" s="80"/>
      <c r="M39" s="66"/>
      <c r="N39" s="102"/>
      <c r="O39" s="40"/>
      <c r="P39" s="40"/>
      <c r="Q39" s="39"/>
    </row>
    <row r="40" spans="1:17" x14ac:dyDescent="0.25">
      <c r="A40" s="28" t="s">
        <v>111</v>
      </c>
      <c r="B40" s="80">
        <f>'TL Sport-AL Sport,Kommersiell'!F47</f>
        <v>1518981.95625</v>
      </c>
      <c r="C40" s="80"/>
      <c r="D40" s="80">
        <f t="shared" si="9"/>
        <v>379745.48906250001</v>
      </c>
      <c r="E40" s="80">
        <f>Utvikling!D42</f>
        <v>78068.298033282932</v>
      </c>
      <c r="F40" s="80">
        <f t="shared" si="7"/>
        <v>1976795.7433457829</v>
      </c>
      <c r="G40" s="101">
        <f t="shared" si="10"/>
        <v>3.8469234114977318</v>
      </c>
      <c r="H40" s="80">
        <f t="shared" si="11"/>
        <v>314293.64271936467</v>
      </c>
      <c r="I40" s="80">
        <f t="shared" si="12"/>
        <v>78573.410679841167</v>
      </c>
      <c r="J40" s="130">
        <f t="shared" si="8"/>
        <v>1583928.689946577</v>
      </c>
      <c r="K40" s="80"/>
      <c r="L40" s="80"/>
      <c r="M40" s="66"/>
      <c r="N40" s="102"/>
      <c r="O40" s="40"/>
      <c r="P40" s="40"/>
      <c r="Q40" s="39"/>
    </row>
    <row r="41" spans="1:17" x14ac:dyDescent="0.25">
      <c r="A41" s="28" t="s">
        <v>109</v>
      </c>
      <c r="B41" s="80">
        <f>'TL Sport-AL Sport,Kommersiell'!F48</f>
        <v>1933249.7625</v>
      </c>
      <c r="C41" s="80"/>
      <c r="D41" s="80">
        <f t="shared" si="9"/>
        <v>483312.44062499999</v>
      </c>
      <c r="E41" s="80">
        <f>Utvikling!D43</f>
        <v>79487.721633888083</v>
      </c>
      <c r="F41" s="80">
        <f t="shared" si="7"/>
        <v>2496049.9247588878</v>
      </c>
      <c r="G41" s="101">
        <f t="shared" si="10"/>
        <v>4.8482174735249632</v>
      </c>
      <c r="H41" s="80">
        <f t="shared" si="11"/>
        <v>396099.36758698948</v>
      </c>
      <c r="I41" s="80">
        <f t="shared" si="12"/>
        <v>99024.84189674737</v>
      </c>
      <c r="J41" s="130">
        <f t="shared" si="8"/>
        <v>2000925.715275151</v>
      </c>
      <c r="K41" s="80"/>
      <c r="L41" s="80"/>
      <c r="M41" s="66"/>
      <c r="N41" s="102"/>
      <c r="O41" s="40"/>
      <c r="P41" s="40"/>
      <c r="Q41" s="39"/>
    </row>
    <row r="42" spans="1:17" x14ac:dyDescent="0.25">
      <c r="A42" s="28" t="s">
        <v>112</v>
      </c>
      <c r="B42" s="80">
        <f>'TL Sport-AL Sport,Kommersiell'!F49</f>
        <v>1472952.2</v>
      </c>
      <c r="C42" s="80"/>
      <c r="D42" s="80">
        <f t="shared" si="9"/>
        <v>368238.05</v>
      </c>
      <c r="E42" s="80">
        <f>Utvikling!D44</f>
        <v>316531.46293494711</v>
      </c>
      <c r="F42" s="80">
        <f t="shared" si="7"/>
        <v>2157721.7129349471</v>
      </c>
      <c r="G42" s="101">
        <f t="shared" si="10"/>
        <v>4.3104508320726183</v>
      </c>
      <c r="H42" s="80">
        <f t="shared" si="11"/>
        <v>352163.8329803329</v>
      </c>
      <c r="I42" s="80">
        <f t="shared" si="12"/>
        <v>88040.958245083224</v>
      </c>
      <c r="J42" s="130">
        <f t="shared" si="8"/>
        <v>1717516.921709531</v>
      </c>
      <c r="K42" s="80"/>
      <c r="L42" s="80"/>
      <c r="M42" s="66"/>
      <c r="N42" s="102"/>
      <c r="O42" s="40"/>
      <c r="P42" s="40"/>
      <c r="Q42" s="39"/>
    </row>
    <row r="43" spans="1:17" x14ac:dyDescent="0.25">
      <c r="A43" s="28" t="s">
        <v>113</v>
      </c>
      <c r="B43" s="80">
        <f>'TL Sport-AL Sport,Kommersiell'!F50</f>
        <v>1334862.9312499999</v>
      </c>
      <c r="C43" s="80"/>
      <c r="D43" s="80">
        <f t="shared" si="9"/>
        <v>333715.73281249998</v>
      </c>
      <c r="E43" s="80">
        <f>Utvikling!D45</f>
        <v>141942.36006051439</v>
      </c>
      <c r="F43" s="80">
        <f t="shared" si="7"/>
        <v>1810521.0241230144</v>
      </c>
      <c r="G43" s="101">
        <f t="shared" si="10"/>
        <v>3.5572812027231469</v>
      </c>
      <c r="H43" s="80">
        <f t="shared" si="11"/>
        <v>290629.87426248111</v>
      </c>
      <c r="I43" s="80">
        <f t="shared" si="12"/>
        <v>72657.468565620278</v>
      </c>
      <c r="J43" s="130">
        <f t="shared" si="8"/>
        <v>1447233.6812949132</v>
      </c>
      <c r="K43" s="80"/>
      <c r="L43" s="80"/>
      <c r="M43" s="66"/>
      <c r="N43" s="102"/>
      <c r="O43" s="40"/>
      <c r="P43" s="40"/>
      <c r="Q43" s="39"/>
    </row>
    <row r="44" spans="1:17" x14ac:dyDescent="0.25">
      <c r="A44" s="131"/>
      <c r="B44" s="80"/>
      <c r="C44" s="80"/>
      <c r="D44" s="80"/>
      <c r="E44" s="80"/>
      <c r="F44" s="80"/>
      <c r="G44" s="101"/>
      <c r="H44" s="80"/>
      <c r="I44" s="80"/>
      <c r="J44" s="130"/>
      <c r="K44" s="80"/>
      <c r="L44" s="80"/>
      <c r="M44" s="66"/>
      <c r="N44" s="102"/>
      <c r="O44" s="40"/>
      <c r="P44" s="40"/>
      <c r="Q44" s="39"/>
    </row>
    <row r="45" spans="1:17" ht="15.75" thickBot="1" x14ac:dyDescent="0.3">
      <c r="A45" s="135" t="s">
        <v>14</v>
      </c>
      <c r="B45" s="136">
        <f>SUM(B28:B44)</f>
        <v>36823805</v>
      </c>
      <c r="C45" s="136"/>
      <c r="D45" s="136">
        <f t="shared" ref="D45" si="13">SUM(D28:D44)</f>
        <v>9205951.25</v>
      </c>
      <c r="E45" s="136">
        <f>SUM(E28:E44)</f>
        <v>4691195.0000000009</v>
      </c>
      <c r="F45" s="136">
        <f>SUM(F28:F43)</f>
        <v>50720951.249999993</v>
      </c>
      <c r="G45" s="137">
        <f t="shared" ref="G45" si="14">SUM(F45/$F$45*100)</f>
        <v>100</v>
      </c>
      <c r="H45" s="136">
        <f>SUM(43000000*0.19)</f>
        <v>8170000</v>
      </c>
      <c r="I45" s="136">
        <f>SUM(I28:I43)</f>
        <v>2042500.0000000005</v>
      </c>
      <c r="J45" s="138">
        <f t="shared" si="8"/>
        <v>40508451.249999993</v>
      </c>
      <c r="K45" s="80">
        <f>SUM(H28:H43)</f>
        <v>8170000.0000000019</v>
      </c>
      <c r="L45" s="80"/>
      <c r="M45" s="66"/>
      <c r="N45" s="102"/>
      <c r="O45" s="40"/>
      <c r="P45" s="40"/>
      <c r="Q45" s="39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F14" sqref="F14"/>
    </sheetView>
  </sheetViews>
  <sheetFormatPr baseColWidth="10" defaultRowHeight="15" x14ac:dyDescent="0.25"/>
  <cols>
    <col min="1" max="1" width="19.5703125" customWidth="1"/>
    <col min="2" max="2" width="21.42578125" customWidth="1"/>
    <col min="3" max="3" width="13.140625" customWidth="1"/>
    <col min="4" max="4" width="15" bestFit="1" customWidth="1"/>
    <col min="5" max="5" width="15.28515625" style="17" customWidth="1"/>
  </cols>
  <sheetData>
    <row r="1" spans="1:6" ht="18.75" x14ac:dyDescent="0.3">
      <c r="A1" s="3" t="s">
        <v>139</v>
      </c>
      <c r="C1" s="9">
        <v>224000000</v>
      </c>
      <c r="D1" s="9">
        <v>221000000</v>
      </c>
      <c r="E1" s="17" t="s">
        <v>85</v>
      </c>
    </row>
    <row r="2" spans="1:6" s="17" customFormat="1" x14ac:dyDescent="0.25">
      <c r="A2" s="1" t="s">
        <v>97</v>
      </c>
      <c r="C2" s="9"/>
      <c r="D2" s="9">
        <f>'FM -  2013'!B4</f>
        <v>2500000</v>
      </c>
    </row>
    <row r="3" spans="1:6" s="17" customFormat="1" x14ac:dyDescent="0.25">
      <c r="A3" s="1" t="s">
        <v>98</v>
      </c>
      <c r="C3" s="9"/>
      <c r="D3" s="9">
        <f>'FM -  2013'!B6</f>
        <v>218500000</v>
      </c>
    </row>
    <row r="4" spans="1:6" s="17" customFormat="1" x14ac:dyDescent="0.25">
      <c r="A4" s="1"/>
      <c r="B4" s="8" t="s">
        <v>99</v>
      </c>
      <c r="C4" s="9" t="s">
        <v>100</v>
      </c>
      <c r="D4" s="9" t="s">
        <v>16</v>
      </c>
    </row>
    <row r="5" spans="1:6" x14ac:dyDescent="0.25">
      <c r="A5" s="1" t="s">
        <v>39</v>
      </c>
      <c r="B5" s="39">
        <f>'FM -  2013'!C8</f>
        <v>134862570</v>
      </c>
      <c r="C5" s="40">
        <f>'FM -  2013'!D8</f>
        <v>31634430</v>
      </c>
      <c r="D5" s="40">
        <f>SUM(B5:C5)</f>
        <v>166497000</v>
      </c>
    </row>
    <row r="6" spans="1:6" x14ac:dyDescent="0.25">
      <c r="A6" s="1" t="s">
        <v>37</v>
      </c>
      <c r="B6" s="39">
        <f>'FM -  2013'!C9</f>
        <v>17628650</v>
      </c>
      <c r="C6" s="40">
        <f>'FM -  2013'!D9</f>
        <v>5189375</v>
      </c>
      <c r="D6" s="40">
        <f t="shared" ref="D6:D7" si="0">SUM(B6:C6)</f>
        <v>22818025</v>
      </c>
    </row>
    <row r="7" spans="1:6" s="17" customFormat="1" x14ac:dyDescent="0.25">
      <c r="A7" s="1" t="s">
        <v>101</v>
      </c>
      <c r="B7" s="39">
        <f>'FM -  2013'!C10</f>
        <v>4494475.0000000009</v>
      </c>
      <c r="C7" s="40"/>
      <c r="D7" s="40">
        <f t="shared" si="0"/>
        <v>4494475.0000000009</v>
      </c>
    </row>
    <row r="8" spans="1:6" x14ac:dyDescent="0.25">
      <c r="A8" s="1" t="s">
        <v>102</v>
      </c>
      <c r="B8" s="39">
        <f>SUM(B5:B7)</f>
        <v>156985695</v>
      </c>
      <c r="C8" s="40">
        <f t="shared" ref="C8:D8" si="1">SUM(C5:C7)</f>
        <v>36823805</v>
      </c>
      <c r="D8" s="40">
        <f t="shared" si="1"/>
        <v>193809500</v>
      </c>
    </row>
    <row r="9" spans="1:6" s="17" customFormat="1" x14ac:dyDescent="0.25">
      <c r="A9" s="1" t="s">
        <v>40</v>
      </c>
      <c r="B9" s="39">
        <f>'FM -  2013'!C11</f>
        <v>19999305</v>
      </c>
      <c r="C9" s="40">
        <f>'FM -  2013'!D11</f>
        <v>4691195</v>
      </c>
      <c r="D9" s="40">
        <f>SUM(B9:C9)</f>
        <v>24690500</v>
      </c>
    </row>
    <row r="10" spans="1:6" s="17" customFormat="1" x14ac:dyDescent="0.25">
      <c r="A10" s="1" t="s">
        <v>16</v>
      </c>
      <c r="B10" s="39">
        <f>SUM(B8:B9)</f>
        <v>176985000</v>
      </c>
      <c r="C10" s="40">
        <f t="shared" ref="C10:D10" si="2">SUM(C8:C9)</f>
        <v>41515000</v>
      </c>
      <c r="D10" s="40">
        <f t="shared" si="2"/>
        <v>218500000</v>
      </c>
    </row>
    <row r="11" spans="1:6" s="17" customFormat="1" ht="15.75" thickBot="1" x14ac:dyDescent="0.3">
      <c r="B11" s="39"/>
    </row>
    <row r="12" spans="1:6" x14ac:dyDescent="0.25">
      <c r="A12" s="48" t="s">
        <v>17</v>
      </c>
      <c r="B12" s="35" t="s">
        <v>18</v>
      </c>
      <c r="C12" s="35" t="s">
        <v>19</v>
      </c>
      <c r="D12" s="35" t="s">
        <v>20</v>
      </c>
      <c r="E12" s="35"/>
      <c r="F12" s="14" t="s">
        <v>16</v>
      </c>
    </row>
    <row r="13" spans="1:6" x14ac:dyDescent="0.25">
      <c r="A13" s="50" t="s">
        <v>0</v>
      </c>
      <c r="B13" s="21"/>
      <c r="C13" s="21"/>
      <c r="D13" s="21"/>
      <c r="E13" s="21"/>
      <c r="F13" s="22"/>
    </row>
    <row r="14" spans="1:6" x14ac:dyDescent="0.25">
      <c r="A14" s="28" t="s">
        <v>2</v>
      </c>
      <c r="B14" s="15">
        <v>20</v>
      </c>
      <c r="C14" s="24">
        <f>SUM($B$5/2/16)</f>
        <v>4214455.3125</v>
      </c>
      <c r="D14" s="24">
        <f>($B$5*B14/100)/2</f>
        <v>13486257</v>
      </c>
      <c r="E14" s="24"/>
      <c r="F14" s="29">
        <f>SUM(C14:D14)</f>
        <v>17700712.3125</v>
      </c>
    </row>
    <row r="15" spans="1:6" x14ac:dyDescent="0.25">
      <c r="A15" s="28" t="s">
        <v>3</v>
      </c>
      <c r="B15" s="15">
        <v>16</v>
      </c>
      <c r="C15" s="24">
        <f t="shared" ref="C15:C29" si="3">SUM($B$5/2/16)</f>
        <v>4214455.3125</v>
      </c>
      <c r="D15" s="24">
        <f t="shared" ref="D15:D29" si="4">($B$5*B15/100)/2</f>
        <v>10789005.6</v>
      </c>
      <c r="E15" s="24"/>
      <c r="F15" s="29">
        <f t="shared" ref="F15:F29" si="5">SUM(C15:D15)</f>
        <v>15003460.9125</v>
      </c>
    </row>
    <row r="16" spans="1:6" x14ac:dyDescent="0.25">
      <c r="A16" s="28" t="s">
        <v>7</v>
      </c>
      <c r="B16" s="15">
        <v>12</v>
      </c>
      <c r="C16" s="24">
        <f t="shared" si="3"/>
        <v>4214455.3125</v>
      </c>
      <c r="D16" s="24">
        <f t="shared" si="4"/>
        <v>8091754.2000000002</v>
      </c>
      <c r="E16" s="24"/>
      <c r="F16" s="29">
        <f t="shared" si="5"/>
        <v>12306209.512499999</v>
      </c>
    </row>
    <row r="17" spans="1:13" x14ac:dyDescent="0.25">
      <c r="A17" s="28" t="s">
        <v>9</v>
      </c>
      <c r="B17" s="15">
        <v>7</v>
      </c>
      <c r="C17" s="24">
        <f t="shared" si="3"/>
        <v>4214455.3125</v>
      </c>
      <c r="D17" s="24">
        <f t="shared" si="4"/>
        <v>4720189.95</v>
      </c>
      <c r="E17" s="24"/>
      <c r="F17" s="29">
        <f t="shared" si="5"/>
        <v>8934645.2624999993</v>
      </c>
    </row>
    <row r="18" spans="1:13" x14ac:dyDescent="0.25">
      <c r="A18" s="28" t="s">
        <v>5</v>
      </c>
      <c r="B18" s="15">
        <v>6</v>
      </c>
      <c r="C18" s="24">
        <f t="shared" si="3"/>
        <v>4214455.3125</v>
      </c>
      <c r="D18" s="24">
        <f t="shared" si="4"/>
        <v>4045877.1</v>
      </c>
      <c r="E18" s="24"/>
      <c r="F18" s="29">
        <f t="shared" si="5"/>
        <v>8260332.4124999996</v>
      </c>
    </row>
    <row r="19" spans="1:13" x14ac:dyDescent="0.25">
      <c r="A19" s="28" t="s">
        <v>1</v>
      </c>
      <c r="B19" s="15">
        <v>5.5</v>
      </c>
      <c r="C19" s="24">
        <f t="shared" si="3"/>
        <v>4214455.3125</v>
      </c>
      <c r="D19" s="24">
        <f t="shared" si="4"/>
        <v>3708720.6749999998</v>
      </c>
      <c r="E19" s="24"/>
      <c r="F19" s="29">
        <f t="shared" si="5"/>
        <v>7923175.9874999998</v>
      </c>
    </row>
    <row r="20" spans="1:13" x14ac:dyDescent="0.25">
      <c r="A20" s="28" t="s">
        <v>114</v>
      </c>
      <c r="B20" s="15">
        <v>5</v>
      </c>
      <c r="C20" s="24">
        <f t="shared" si="3"/>
        <v>4214455.3125</v>
      </c>
      <c r="D20" s="24">
        <f t="shared" si="4"/>
        <v>3371564.25</v>
      </c>
      <c r="E20" s="24"/>
      <c r="F20" s="29">
        <f t="shared" si="5"/>
        <v>7586019.5625</v>
      </c>
    </row>
    <row r="21" spans="1:13" x14ac:dyDescent="0.25">
      <c r="A21" s="28" t="s">
        <v>6</v>
      </c>
      <c r="B21" s="15">
        <v>4.5</v>
      </c>
      <c r="C21" s="24">
        <f t="shared" si="3"/>
        <v>4214455.3125</v>
      </c>
      <c r="D21" s="24">
        <f t="shared" si="4"/>
        <v>3034407.8250000002</v>
      </c>
      <c r="E21" s="24"/>
      <c r="F21" s="29">
        <f t="shared" si="5"/>
        <v>7248863.1375000002</v>
      </c>
    </row>
    <row r="22" spans="1:13" x14ac:dyDescent="0.25">
      <c r="A22" s="28" t="s">
        <v>103</v>
      </c>
      <c r="B22" s="15">
        <v>4</v>
      </c>
      <c r="C22" s="24">
        <f t="shared" si="3"/>
        <v>4214455.3125</v>
      </c>
      <c r="D22" s="24">
        <f t="shared" si="4"/>
        <v>2697251.4</v>
      </c>
      <c r="E22" s="24"/>
      <c r="F22" s="29">
        <f t="shared" si="5"/>
        <v>6911706.7125000004</v>
      </c>
    </row>
    <row r="23" spans="1:13" x14ac:dyDescent="0.25">
      <c r="A23" s="28" t="s">
        <v>133</v>
      </c>
      <c r="B23" s="15">
        <v>4</v>
      </c>
      <c r="C23" s="24">
        <f t="shared" si="3"/>
        <v>4214455.3125</v>
      </c>
      <c r="D23" s="24">
        <f t="shared" si="4"/>
        <v>2697251.4</v>
      </c>
      <c r="E23" s="24"/>
      <c r="F23" s="29">
        <f t="shared" si="5"/>
        <v>6911706.7125000004</v>
      </c>
    </row>
    <row r="24" spans="1:13" x14ac:dyDescent="0.25">
      <c r="A24" s="28" t="s">
        <v>8</v>
      </c>
      <c r="B24" s="15">
        <v>3.5</v>
      </c>
      <c r="C24" s="24">
        <f t="shared" si="3"/>
        <v>4214455.3125</v>
      </c>
      <c r="D24" s="24">
        <f t="shared" si="4"/>
        <v>2360094.9750000001</v>
      </c>
      <c r="E24" s="24"/>
      <c r="F24" s="29">
        <f t="shared" si="5"/>
        <v>6574550.2874999996</v>
      </c>
    </row>
    <row r="25" spans="1:13" x14ac:dyDescent="0.25">
      <c r="A25" s="28" t="s">
        <v>10</v>
      </c>
      <c r="B25" s="15">
        <v>3.5</v>
      </c>
      <c r="C25" s="24">
        <f t="shared" si="3"/>
        <v>4214455.3125</v>
      </c>
      <c r="D25" s="24">
        <f t="shared" si="4"/>
        <v>2360094.9750000001</v>
      </c>
      <c r="E25" s="24"/>
      <c r="F25" s="29">
        <f t="shared" si="5"/>
        <v>6574550.2874999996</v>
      </c>
    </row>
    <row r="26" spans="1:13" x14ac:dyDescent="0.25">
      <c r="A26" s="28" t="s">
        <v>11</v>
      </c>
      <c r="B26" s="15">
        <v>3</v>
      </c>
      <c r="C26" s="24">
        <f t="shared" si="3"/>
        <v>4214455.3125</v>
      </c>
      <c r="D26" s="24">
        <f t="shared" si="4"/>
        <v>2022938.55</v>
      </c>
      <c r="E26" s="24"/>
      <c r="F26" s="29">
        <f t="shared" si="5"/>
        <v>6237393.8624999998</v>
      </c>
    </row>
    <row r="27" spans="1:13" x14ac:dyDescent="0.25">
      <c r="A27" s="28" t="s">
        <v>134</v>
      </c>
      <c r="B27" s="15">
        <v>2</v>
      </c>
      <c r="C27" s="24">
        <f t="shared" si="3"/>
        <v>4214455.3125</v>
      </c>
      <c r="D27" s="24">
        <f t="shared" si="4"/>
        <v>1348625.7</v>
      </c>
      <c r="E27" s="24"/>
      <c r="F27" s="29">
        <f t="shared" si="5"/>
        <v>5563081.0125000002</v>
      </c>
    </row>
    <row r="28" spans="1:13" x14ac:dyDescent="0.25">
      <c r="A28" s="28" t="s">
        <v>4</v>
      </c>
      <c r="B28" s="15">
        <v>2</v>
      </c>
      <c r="C28" s="24">
        <f t="shared" si="3"/>
        <v>4214455.3125</v>
      </c>
      <c r="D28" s="24">
        <f t="shared" si="4"/>
        <v>1348625.7</v>
      </c>
      <c r="E28" s="24"/>
      <c r="F28" s="29">
        <f t="shared" si="5"/>
        <v>5563081.0125000002</v>
      </c>
    </row>
    <row r="29" spans="1:13" x14ac:dyDescent="0.25">
      <c r="A29" s="28" t="s">
        <v>135</v>
      </c>
      <c r="B29" s="15">
        <v>2</v>
      </c>
      <c r="C29" s="24">
        <f t="shared" si="3"/>
        <v>4214455.3125</v>
      </c>
      <c r="D29" s="24">
        <f t="shared" si="4"/>
        <v>1348625.7</v>
      </c>
      <c r="E29" s="24"/>
      <c r="F29" s="29">
        <f t="shared" si="5"/>
        <v>5563081.0125000002</v>
      </c>
    </row>
    <row r="30" spans="1:13" x14ac:dyDescent="0.25">
      <c r="A30" s="28"/>
      <c r="B30" s="21"/>
      <c r="C30" s="44"/>
      <c r="D30" s="44"/>
      <c r="E30" s="44"/>
      <c r="F30" s="49"/>
    </row>
    <row r="31" spans="1:13" ht="15.75" thickBot="1" x14ac:dyDescent="0.3">
      <c r="A31" s="41" t="s">
        <v>14</v>
      </c>
      <c r="B31" s="13">
        <f>SUM(B14:B29)</f>
        <v>100</v>
      </c>
      <c r="C31" s="42">
        <f>SUM(C14:C29)</f>
        <v>67431285</v>
      </c>
      <c r="D31" s="42">
        <f>SUM(D14:D29)</f>
        <v>67431285</v>
      </c>
      <c r="E31" s="42"/>
      <c r="F31" s="42">
        <f t="shared" ref="F31" si="6">SUM(F14:F29)</f>
        <v>134862570</v>
      </c>
      <c r="G31" s="25"/>
      <c r="H31" s="27"/>
      <c r="I31" s="27"/>
      <c r="J31" s="27"/>
      <c r="K31" s="27"/>
      <c r="L31" s="27"/>
      <c r="M31" s="27"/>
    </row>
    <row r="32" spans="1:13" x14ac:dyDescent="0.25">
      <c r="A32" s="20"/>
      <c r="G32" s="20"/>
      <c r="H32" s="21"/>
      <c r="I32" s="21"/>
      <c r="J32" s="21"/>
      <c r="K32" s="21"/>
      <c r="L32" s="21"/>
      <c r="M32" s="22"/>
    </row>
    <row r="33" spans="1:13" x14ac:dyDescent="0.25">
      <c r="A33" s="50" t="s">
        <v>15</v>
      </c>
      <c r="B33" s="1" t="s">
        <v>18</v>
      </c>
      <c r="C33" s="1" t="s">
        <v>19</v>
      </c>
      <c r="D33" s="1" t="s">
        <v>118</v>
      </c>
      <c r="E33" s="12" t="s">
        <v>21</v>
      </c>
      <c r="F33" s="12" t="s">
        <v>16</v>
      </c>
      <c r="G33" s="43" t="s">
        <v>22</v>
      </c>
      <c r="H33" s="21"/>
      <c r="I33" s="21"/>
      <c r="J33" s="21"/>
      <c r="K33" s="21"/>
      <c r="L33" s="21"/>
      <c r="M33" s="22"/>
    </row>
    <row r="34" spans="1:13" x14ac:dyDescent="0.25">
      <c r="A34" s="28"/>
      <c r="G34" s="28">
        <v>2009</v>
      </c>
      <c r="H34" s="23">
        <v>2010</v>
      </c>
      <c r="I34" s="23">
        <v>2011</v>
      </c>
      <c r="J34" s="23">
        <v>2012</v>
      </c>
      <c r="K34" s="23">
        <v>2013</v>
      </c>
      <c r="L34" s="21" t="s">
        <v>23</v>
      </c>
      <c r="M34" s="32" t="s">
        <v>33</v>
      </c>
    </row>
    <row r="35" spans="1:13" x14ac:dyDescent="0.25">
      <c r="A35" s="28" t="s">
        <v>104</v>
      </c>
      <c r="B35" s="116">
        <v>20</v>
      </c>
      <c r="C35" s="40">
        <f>$C$8*0.5/16</f>
        <v>1150743.90625</v>
      </c>
      <c r="D35" s="40">
        <f>$C$8*0.25*0.2</f>
        <v>1841190.25</v>
      </c>
      <c r="E35" s="40">
        <f>$C$8*0.25*0.07</f>
        <v>644416.58750000002</v>
      </c>
      <c r="F35" s="40">
        <f>C35+D35+E35</f>
        <v>3636350.7437499999</v>
      </c>
      <c r="G35" s="28">
        <v>0</v>
      </c>
      <c r="H35" s="23">
        <v>6</v>
      </c>
      <c r="I35" s="23">
        <v>5</v>
      </c>
      <c r="J35" s="23">
        <v>5</v>
      </c>
      <c r="K35" s="23">
        <v>1</v>
      </c>
      <c r="L35" s="23">
        <f>SUM(G35:K35)</f>
        <v>17</v>
      </c>
      <c r="M35" s="51">
        <v>4</v>
      </c>
    </row>
    <row r="36" spans="1:13" x14ac:dyDescent="0.25">
      <c r="A36" s="28" t="s">
        <v>13</v>
      </c>
      <c r="B36" s="116">
        <v>16</v>
      </c>
      <c r="C36" s="40">
        <f t="shared" ref="C36:C50" si="7">$C$8*0.5/16</f>
        <v>1150743.90625</v>
      </c>
      <c r="D36" s="40">
        <f>$C$8*0.25*0.16</f>
        <v>1472952.2</v>
      </c>
      <c r="E36" s="40">
        <f>$C$8*0.25*0.2</f>
        <v>1841190.25</v>
      </c>
      <c r="F36" s="40">
        <f t="shared" ref="F36:F50" si="8">C36+D36+E36</f>
        <v>4464886.3562500002</v>
      </c>
      <c r="G36" s="28">
        <v>0</v>
      </c>
      <c r="H36" s="23">
        <v>0</v>
      </c>
      <c r="I36" s="23">
        <v>0</v>
      </c>
      <c r="J36" s="23">
        <v>0</v>
      </c>
      <c r="K36" s="23">
        <v>2</v>
      </c>
      <c r="L36" s="23">
        <f t="shared" ref="L36:L50" si="9">SUM(G36:K36)</f>
        <v>2</v>
      </c>
      <c r="M36" s="51">
        <v>1</v>
      </c>
    </row>
    <row r="37" spans="1:13" x14ac:dyDescent="0.25">
      <c r="A37" s="28" t="s">
        <v>107</v>
      </c>
      <c r="B37" s="116">
        <v>12</v>
      </c>
      <c r="C37" s="40">
        <f t="shared" si="7"/>
        <v>1150743.90625</v>
      </c>
      <c r="D37" s="40">
        <f>$C$8*0.25*0.12</f>
        <v>1104714.1499999999</v>
      </c>
      <c r="E37" s="40">
        <f>$C$8*0.25*0.04</f>
        <v>368238.05</v>
      </c>
      <c r="F37" s="40">
        <f t="shared" si="8"/>
        <v>2623696.1062499997</v>
      </c>
      <c r="G37" s="28">
        <v>16</v>
      </c>
      <c r="H37" s="23">
        <v>17</v>
      </c>
      <c r="I37" s="23">
        <v>8</v>
      </c>
      <c r="J37" s="23">
        <v>12</v>
      </c>
      <c r="K37" s="23">
        <v>3</v>
      </c>
      <c r="L37" s="23">
        <f t="shared" si="9"/>
        <v>56</v>
      </c>
      <c r="M37" s="51">
        <v>10</v>
      </c>
    </row>
    <row r="38" spans="1:13" x14ac:dyDescent="0.25">
      <c r="A38" s="28" t="s">
        <v>115</v>
      </c>
      <c r="B38" s="116">
        <v>7</v>
      </c>
      <c r="C38" s="40">
        <f t="shared" si="7"/>
        <v>1150743.90625</v>
      </c>
      <c r="D38" s="40">
        <f>$C$8*0.25*0.07</f>
        <v>644416.58750000002</v>
      </c>
      <c r="E38" s="40">
        <f>$C$8*0.25*0.06</f>
        <v>552357.07499999995</v>
      </c>
      <c r="F38" s="40">
        <f t="shared" si="8"/>
        <v>2347517.5687499996</v>
      </c>
      <c r="G38" s="28">
        <v>17</v>
      </c>
      <c r="H38" s="23">
        <v>5</v>
      </c>
      <c r="I38" s="23">
        <v>4</v>
      </c>
      <c r="J38" s="23">
        <v>7</v>
      </c>
      <c r="K38" s="23">
        <v>4</v>
      </c>
      <c r="L38" s="23">
        <f t="shared" si="9"/>
        <v>37</v>
      </c>
      <c r="M38" s="51">
        <v>6</v>
      </c>
    </row>
    <row r="39" spans="1:13" x14ac:dyDescent="0.25">
      <c r="A39" s="28" t="s">
        <v>116</v>
      </c>
      <c r="B39" s="116">
        <v>6.5</v>
      </c>
      <c r="C39" s="40">
        <f t="shared" si="7"/>
        <v>1150743.90625</v>
      </c>
      <c r="D39" s="40">
        <f>$C$8*0.25*0.065</f>
        <v>598386.83125000005</v>
      </c>
      <c r="E39" s="40">
        <f>$C$8*0.25*0.045</f>
        <v>414267.80624999997</v>
      </c>
      <c r="F39" s="40">
        <f t="shared" si="8"/>
        <v>2163398.5437500002</v>
      </c>
      <c r="G39" s="28">
        <v>13</v>
      </c>
      <c r="H39" s="23">
        <v>17</v>
      </c>
      <c r="I39" s="23">
        <v>6</v>
      </c>
      <c r="J39" s="23">
        <v>8</v>
      </c>
      <c r="K39" s="23">
        <v>5</v>
      </c>
      <c r="L39" s="23">
        <f t="shared" si="9"/>
        <v>49</v>
      </c>
      <c r="M39" s="51">
        <v>9</v>
      </c>
    </row>
    <row r="40" spans="1:13" x14ac:dyDescent="0.25">
      <c r="A40" s="28" t="s">
        <v>108</v>
      </c>
      <c r="B40" s="116">
        <v>6</v>
      </c>
      <c r="C40" s="40">
        <f t="shared" si="7"/>
        <v>1150743.90625</v>
      </c>
      <c r="D40" s="40">
        <f>$C$8*0.25*0.06</f>
        <v>552357.07499999995</v>
      </c>
      <c r="E40" s="40">
        <f>$C$8*0.25*0.055</f>
        <v>506327.31874999998</v>
      </c>
      <c r="F40" s="40">
        <f t="shared" si="8"/>
        <v>2209428.2999999998</v>
      </c>
      <c r="G40" s="28">
        <v>11</v>
      </c>
      <c r="H40" s="23">
        <v>10</v>
      </c>
      <c r="I40" s="23">
        <v>10</v>
      </c>
      <c r="J40" s="23">
        <v>4</v>
      </c>
      <c r="K40" s="23">
        <v>6</v>
      </c>
      <c r="L40" s="23">
        <f t="shared" si="9"/>
        <v>41</v>
      </c>
      <c r="M40" s="51">
        <v>7</v>
      </c>
    </row>
    <row r="41" spans="1:13" x14ac:dyDescent="0.25">
      <c r="A41" s="28" t="s">
        <v>132</v>
      </c>
      <c r="B41" s="116">
        <v>5.5</v>
      </c>
      <c r="C41" s="40">
        <f t="shared" si="7"/>
        <v>1150743.90625</v>
      </c>
      <c r="D41" s="40">
        <f>$C$8*0.25*0.055</f>
        <v>506327.31874999998</v>
      </c>
      <c r="E41" s="40">
        <f>$C$8*0.25*0.05</f>
        <v>460297.5625</v>
      </c>
      <c r="F41" s="40">
        <f t="shared" si="8"/>
        <v>2117368.7875000001</v>
      </c>
      <c r="G41" s="28">
        <v>8</v>
      </c>
      <c r="H41" s="23">
        <v>9</v>
      </c>
      <c r="I41" s="23">
        <v>9</v>
      </c>
      <c r="J41" s="23">
        <v>10</v>
      </c>
      <c r="K41" s="23">
        <v>7</v>
      </c>
      <c r="L41" s="23">
        <f t="shared" si="9"/>
        <v>43</v>
      </c>
      <c r="M41" s="51">
        <v>8</v>
      </c>
    </row>
    <row r="42" spans="1:13" x14ac:dyDescent="0.25">
      <c r="A42" s="28" t="s">
        <v>106</v>
      </c>
      <c r="B42" s="116">
        <v>5</v>
      </c>
      <c r="C42" s="40">
        <f t="shared" si="7"/>
        <v>1150743.90625</v>
      </c>
      <c r="D42" s="40">
        <f>$C$8*0.25*0.05</f>
        <v>460297.5625</v>
      </c>
      <c r="E42" s="40">
        <f>$C$8*0.25*0.12</f>
        <v>1104714.1499999999</v>
      </c>
      <c r="F42" s="40">
        <f t="shared" si="8"/>
        <v>2715755.6187499999</v>
      </c>
      <c r="G42" s="28">
        <v>2</v>
      </c>
      <c r="H42" s="23">
        <v>0</v>
      </c>
      <c r="I42" s="23">
        <v>3</v>
      </c>
      <c r="J42" s="23">
        <v>3</v>
      </c>
      <c r="K42" s="23">
        <v>8</v>
      </c>
      <c r="L42" s="23">
        <f t="shared" si="9"/>
        <v>16</v>
      </c>
      <c r="M42" s="51">
        <v>3</v>
      </c>
    </row>
    <row r="43" spans="1:13" x14ac:dyDescent="0.25">
      <c r="A43" s="28" t="s">
        <v>105</v>
      </c>
      <c r="B43" s="116">
        <v>4.5</v>
      </c>
      <c r="C43" s="40">
        <f t="shared" si="7"/>
        <v>1150743.90625</v>
      </c>
      <c r="D43" s="40">
        <f>$C$8*0.25*0.045</f>
        <v>414267.80624999997</v>
      </c>
      <c r="E43" s="40">
        <f>$C$8*0.25*0.025</f>
        <v>230148.78125</v>
      </c>
      <c r="F43" s="40">
        <f t="shared" si="8"/>
        <v>1795160.4937499999</v>
      </c>
      <c r="G43" s="28">
        <v>17</v>
      </c>
      <c r="H43" s="23">
        <v>17</v>
      </c>
      <c r="I43" s="23">
        <v>17</v>
      </c>
      <c r="J43" s="23">
        <v>17</v>
      </c>
      <c r="K43" s="23">
        <v>9</v>
      </c>
      <c r="L43" s="23">
        <f t="shared" si="9"/>
        <v>77</v>
      </c>
      <c r="M43" s="51">
        <v>13</v>
      </c>
    </row>
    <row r="44" spans="1:13" x14ac:dyDescent="0.25">
      <c r="A44" s="28" t="s">
        <v>12</v>
      </c>
      <c r="B44" s="116">
        <v>4</v>
      </c>
      <c r="C44" s="40">
        <f t="shared" si="7"/>
        <v>1150743.90625</v>
      </c>
      <c r="D44" s="40">
        <f>$C$8*0.25*0.04</f>
        <v>368238.05</v>
      </c>
      <c r="E44" s="40">
        <f>$C$8*0.25*0.16</f>
        <v>1472952.2</v>
      </c>
      <c r="F44" s="40">
        <f t="shared" si="8"/>
        <v>2991934.15625</v>
      </c>
      <c r="G44" s="28">
        <v>0</v>
      </c>
      <c r="H44" s="99">
        <v>3</v>
      </c>
      <c r="I44" s="23">
        <v>0</v>
      </c>
      <c r="J44" s="23">
        <v>0</v>
      </c>
      <c r="K44" s="23">
        <v>10</v>
      </c>
      <c r="L44" s="23">
        <f t="shared" si="9"/>
        <v>13</v>
      </c>
      <c r="M44" s="51">
        <v>2</v>
      </c>
    </row>
    <row r="45" spans="1:13" x14ac:dyDescent="0.25">
      <c r="A45" s="28" t="s">
        <v>110</v>
      </c>
      <c r="B45" s="116">
        <v>3.5</v>
      </c>
      <c r="C45" s="40">
        <f t="shared" si="7"/>
        <v>1150743.90625</v>
      </c>
      <c r="D45" s="40">
        <f>$C$8*0.25*0.035</f>
        <v>322208.29375000001</v>
      </c>
      <c r="E45" s="40">
        <f>$C$8*0.25*0.035</f>
        <v>322208.29375000001</v>
      </c>
      <c r="F45" s="40">
        <f t="shared" si="8"/>
        <v>1795160.4937499999</v>
      </c>
      <c r="G45" s="28">
        <v>17</v>
      </c>
      <c r="H45" s="23">
        <v>7</v>
      </c>
      <c r="I45" s="23">
        <v>12</v>
      </c>
      <c r="J45" s="23">
        <v>11</v>
      </c>
      <c r="K45" s="23">
        <v>11</v>
      </c>
      <c r="L45" s="23">
        <f t="shared" si="9"/>
        <v>58</v>
      </c>
      <c r="M45" s="51">
        <v>11</v>
      </c>
    </row>
    <row r="46" spans="1:13" x14ac:dyDescent="0.25">
      <c r="A46" s="28" t="s">
        <v>117</v>
      </c>
      <c r="B46" s="116">
        <v>3</v>
      </c>
      <c r="C46" s="40">
        <f t="shared" si="7"/>
        <v>1150743.90625</v>
      </c>
      <c r="D46" s="40">
        <f>$C$8*0.25*0.03</f>
        <v>276178.53749999998</v>
      </c>
      <c r="E46" s="40">
        <f>$C$8*0.25*0.03</f>
        <v>276178.53749999998</v>
      </c>
      <c r="F46" s="40">
        <f t="shared" si="8"/>
        <v>1703100.9812500002</v>
      </c>
      <c r="G46" s="28">
        <v>17</v>
      </c>
      <c r="H46" s="23">
        <v>17</v>
      </c>
      <c r="I46" s="23">
        <v>17</v>
      </c>
      <c r="J46" s="23">
        <v>6</v>
      </c>
      <c r="K46" s="23">
        <v>12</v>
      </c>
      <c r="L46" s="23">
        <f t="shared" si="9"/>
        <v>69</v>
      </c>
      <c r="M46" s="51">
        <v>12</v>
      </c>
    </row>
    <row r="47" spans="1:13" x14ac:dyDescent="0.25">
      <c r="A47" s="28" t="s">
        <v>111</v>
      </c>
      <c r="B47" s="116">
        <v>2.5</v>
      </c>
      <c r="C47" s="40">
        <f t="shared" si="7"/>
        <v>1150743.90625</v>
      </c>
      <c r="D47" s="40">
        <f>$C$8*0.25*0.025</f>
        <v>230148.78125</v>
      </c>
      <c r="E47" s="40">
        <f>$C$8*0.25*0.015</f>
        <v>138089.26874999999</v>
      </c>
      <c r="F47" s="40">
        <f t="shared" si="8"/>
        <v>1518981.95625</v>
      </c>
      <c r="G47" s="28">
        <v>17</v>
      </c>
      <c r="H47" s="23">
        <v>17</v>
      </c>
      <c r="I47" s="23">
        <v>17</v>
      </c>
      <c r="J47" s="23">
        <v>17</v>
      </c>
      <c r="K47" s="23">
        <v>13</v>
      </c>
      <c r="L47" s="23">
        <f t="shared" si="9"/>
        <v>81</v>
      </c>
      <c r="M47" s="51">
        <v>15</v>
      </c>
    </row>
    <row r="48" spans="1:13" x14ac:dyDescent="0.25">
      <c r="A48" s="28" t="s">
        <v>109</v>
      </c>
      <c r="B48" s="116">
        <v>2</v>
      </c>
      <c r="C48" s="40">
        <f t="shared" si="7"/>
        <v>1150743.90625</v>
      </c>
      <c r="D48" s="40">
        <f>$C$8*0.25*0.02</f>
        <v>184119.02499999999</v>
      </c>
      <c r="E48" s="40">
        <f>$C$8*0.25*0.065</f>
        <v>598386.83125000005</v>
      </c>
      <c r="F48" s="40">
        <f t="shared" si="8"/>
        <v>1933249.7625</v>
      </c>
      <c r="G48" s="28">
        <v>3</v>
      </c>
      <c r="H48" s="23">
        <v>0</v>
      </c>
      <c r="I48" s="23">
        <v>7</v>
      </c>
      <c r="J48" s="23">
        <v>9</v>
      </c>
      <c r="K48" s="23">
        <v>14</v>
      </c>
      <c r="L48" s="23">
        <f t="shared" si="9"/>
        <v>33</v>
      </c>
      <c r="M48" s="51">
        <v>5</v>
      </c>
    </row>
    <row r="49" spans="1:13" x14ac:dyDescent="0.25">
      <c r="A49" s="28" t="s">
        <v>112</v>
      </c>
      <c r="B49" s="116">
        <v>1.5</v>
      </c>
      <c r="C49" s="40">
        <f t="shared" si="7"/>
        <v>1150743.90625</v>
      </c>
      <c r="D49" s="40">
        <f>$C$8*0.25*0.015</f>
        <v>138089.26874999999</v>
      </c>
      <c r="E49" s="40">
        <f>$C$8*0.25*0.02</f>
        <v>184119.02499999999</v>
      </c>
      <c r="F49" s="40">
        <f t="shared" si="8"/>
        <v>1472952.2</v>
      </c>
      <c r="G49" s="28">
        <v>12</v>
      </c>
      <c r="H49" s="23">
        <v>17</v>
      </c>
      <c r="I49" s="23">
        <v>17</v>
      </c>
      <c r="J49" s="23">
        <v>17</v>
      </c>
      <c r="K49" s="23">
        <v>15</v>
      </c>
      <c r="L49" s="23">
        <f t="shared" si="9"/>
        <v>78</v>
      </c>
      <c r="M49" s="51">
        <v>14</v>
      </c>
    </row>
    <row r="50" spans="1:13" x14ac:dyDescent="0.25">
      <c r="A50" s="28" t="s">
        <v>113</v>
      </c>
      <c r="B50" s="116">
        <v>1</v>
      </c>
      <c r="C50" s="40">
        <f t="shared" si="7"/>
        <v>1150743.90625</v>
      </c>
      <c r="D50" s="40">
        <f>$C$8*0.25*0.01</f>
        <v>92059.512499999997</v>
      </c>
      <c r="E50" s="40">
        <f>$C$8*0.25*0.01</f>
        <v>92059.512499999997</v>
      </c>
      <c r="F50" s="40">
        <f t="shared" si="8"/>
        <v>1334862.9312499999</v>
      </c>
      <c r="G50" s="115">
        <v>17</v>
      </c>
      <c r="H50" s="23">
        <v>17</v>
      </c>
      <c r="I50" s="23">
        <v>17</v>
      </c>
      <c r="J50" s="23">
        <v>17</v>
      </c>
      <c r="K50" s="23">
        <v>16</v>
      </c>
      <c r="L50" s="23">
        <f t="shared" si="9"/>
        <v>84</v>
      </c>
      <c r="M50" s="51">
        <v>16</v>
      </c>
    </row>
    <row r="51" spans="1:13" x14ac:dyDescent="0.25">
      <c r="A51" s="28"/>
      <c r="B51" s="11"/>
      <c r="G51" s="20"/>
      <c r="H51" s="21"/>
      <c r="I51" s="21"/>
      <c r="J51" s="21"/>
      <c r="K51" s="21"/>
      <c r="L51" s="21"/>
      <c r="M51" s="22"/>
    </row>
    <row r="52" spans="1:13" ht="15.75" thickBot="1" x14ac:dyDescent="0.3">
      <c r="A52" s="30" t="s">
        <v>14</v>
      </c>
      <c r="B52" s="10">
        <f>SUM(B35:B51)</f>
        <v>100</v>
      </c>
      <c r="C52" s="26">
        <f t="shared" ref="C52" si="10">SUM(C35:C51)</f>
        <v>18411902.5</v>
      </c>
      <c r="D52" s="26">
        <f t="shared" ref="D52" si="11">SUM(D35:D51)</f>
        <v>9205951.25</v>
      </c>
      <c r="E52" s="26">
        <f t="shared" ref="E52" si="12">SUM(E35:E51)</f>
        <v>9205951.2499999981</v>
      </c>
      <c r="F52" s="26">
        <f>C52+D52+E52</f>
        <v>36823805</v>
      </c>
      <c r="G52" s="30">
        <v>136</v>
      </c>
      <c r="H52" s="34">
        <v>136</v>
      </c>
      <c r="I52" s="34">
        <v>136</v>
      </c>
      <c r="J52" s="34">
        <v>136</v>
      </c>
      <c r="K52" s="34">
        <f>SUM(K35:K50)</f>
        <v>136</v>
      </c>
      <c r="L52" s="34">
        <f>SUM(L35:L50)</f>
        <v>754</v>
      </c>
      <c r="M52" s="46">
        <f>SUM(M35:M50)</f>
        <v>136</v>
      </c>
    </row>
    <row r="53" spans="1:13" x14ac:dyDescent="0.25">
      <c r="A53" s="33"/>
      <c r="B53" s="11"/>
    </row>
    <row r="54" spans="1:13" x14ac:dyDescent="0.25">
      <c r="A54" s="20"/>
      <c r="B54" s="11"/>
    </row>
    <row r="55" spans="1:13" x14ac:dyDescent="0.25">
      <c r="A55" s="47"/>
      <c r="B55" s="11"/>
    </row>
  </sheetData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topLeftCell="K1" workbookViewId="0">
      <selection activeCell="O1" sqref="O1:W25"/>
    </sheetView>
  </sheetViews>
  <sheetFormatPr baseColWidth="10" defaultRowHeight="15" x14ac:dyDescent="0.25"/>
  <cols>
    <col min="1" max="1" width="27.7109375" customWidth="1"/>
    <col min="15" max="15" width="17.5703125" customWidth="1"/>
    <col min="16" max="16" width="9.42578125" customWidth="1"/>
    <col min="17" max="17" width="10.5703125" customWidth="1"/>
    <col min="18" max="18" width="11.42578125" customWidth="1"/>
    <col min="19" max="19" width="8.140625" customWidth="1"/>
    <col min="20" max="20" width="10.85546875" customWidth="1"/>
    <col min="21" max="21" width="13.28515625" customWidth="1"/>
    <col min="22" max="22" width="15.7109375" style="17" customWidth="1"/>
    <col min="23" max="23" width="13.28515625" customWidth="1"/>
    <col min="24" max="24" width="8.140625" style="17" customWidth="1"/>
    <col min="25" max="25" width="9.85546875" customWidth="1"/>
    <col min="26" max="26" width="9.85546875" style="17" customWidth="1"/>
  </cols>
  <sheetData>
    <row r="1" spans="1:26" s="17" customFormat="1" x14ac:dyDescent="0.25">
      <c r="O1" s="53" t="s">
        <v>141</v>
      </c>
      <c r="P1" s="52"/>
      <c r="Q1" s="52"/>
      <c r="R1" s="52"/>
      <c r="S1" s="52"/>
      <c r="T1" s="52"/>
      <c r="U1" s="52"/>
      <c r="V1" s="52"/>
      <c r="W1" s="19"/>
    </row>
    <row r="2" spans="1:26" s="17" customFormat="1" ht="15.75" thickBot="1" x14ac:dyDescent="0.3">
      <c r="O2" s="20"/>
      <c r="P2" s="21"/>
      <c r="Q2" s="21"/>
      <c r="R2" s="21"/>
      <c r="S2" s="21"/>
      <c r="T2" s="21"/>
      <c r="U2" s="21"/>
      <c r="V2" s="21"/>
      <c r="W2" s="22"/>
    </row>
    <row r="3" spans="1:26" x14ac:dyDescent="0.25">
      <c r="A3" s="53" t="s">
        <v>137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9"/>
      <c r="O3" s="43" t="s">
        <v>38</v>
      </c>
      <c r="P3" s="107" t="s">
        <v>34</v>
      </c>
      <c r="Q3" s="107" t="s">
        <v>81</v>
      </c>
      <c r="R3" s="107" t="s">
        <v>35</v>
      </c>
      <c r="S3" s="107" t="s">
        <v>91</v>
      </c>
      <c r="T3" s="107" t="s">
        <v>121</v>
      </c>
      <c r="U3" s="107" t="s">
        <v>123</v>
      </c>
      <c r="V3" s="107" t="s">
        <v>124</v>
      </c>
      <c r="W3" s="108" t="s">
        <v>37</v>
      </c>
      <c r="Z3" s="105"/>
    </row>
    <row r="4" spans="1:26" x14ac:dyDescent="0.25">
      <c r="A4" s="43"/>
      <c r="B4" s="21"/>
      <c r="C4" s="36"/>
      <c r="D4" s="36"/>
      <c r="E4" s="36"/>
      <c r="F4" s="36"/>
      <c r="G4" s="21"/>
      <c r="H4" s="21"/>
      <c r="I4" s="21"/>
      <c r="J4" s="21"/>
      <c r="K4" s="21"/>
      <c r="L4" s="21"/>
      <c r="M4" s="22"/>
      <c r="O4" s="20"/>
      <c r="P4" s="107" t="s">
        <v>90</v>
      </c>
      <c r="Q4" s="107" t="s">
        <v>90</v>
      </c>
      <c r="R4" s="107" t="s">
        <v>90</v>
      </c>
      <c r="S4" s="107" t="s">
        <v>33</v>
      </c>
      <c r="T4" s="107" t="s">
        <v>33</v>
      </c>
      <c r="U4" s="107" t="s">
        <v>122</v>
      </c>
      <c r="V4" s="119" t="s">
        <v>122</v>
      </c>
      <c r="W4" s="108" t="s">
        <v>125</v>
      </c>
      <c r="Z4" s="105"/>
    </row>
    <row r="5" spans="1:26" x14ac:dyDescent="0.25">
      <c r="A5" s="43" t="s">
        <v>41</v>
      </c>
      <c r="B5" s="16">
        <f>'FM -  2013'!B9</f>
        <v>27312500</v>
      </c>
      <c r="C5" s="38"/>
      <c r="D5" s="21"/>
      <c r="E5" s="21"/>
      <c r="F5" s="21"/>
      <c r="G5" s="21"/>
      <c r="H5" s="21"/>
      <c r="I5" s="21"/>
      <c r="J5" s="21"/>
      <c r="K5" s="21"/>
      <c r="L5" s="21"/>
      <c r="M5" s="22"/>
      <c r="O5" s="20"/>
      <c r="P5" s="107"/>
      <c r="Q5" s="107"/>
      <c r="R5" s="107"/>
      <c r="S5" s="21"/>
      <c r="T5" s="107"/>
      <c r="U5" s="107"/>
      <c r="V5" s="107"/>
      <c r="W5" s="108" t="s">
        <v>126</v>
      </c>
      <c r="Z5" s="105"/>
    </row>
    <row r="6" spans="1:26" x14ac:dyDescent="0.25">
      <c r="A6" s="43" t="s">
        <v>42</v>
      </c>
      <c r="B6" s="16">
        <f>B5*0.81</f>
        <v>22123125</v>
      </c>
      <c r="C6" s="54"/>
      <c r="D6" s="44"/>
      <c r="E6" s="44"/>
      <c r="F6" s="44"/>
      <c r="G6" s="55" t="s">
        <v>37</v>
      </c>
      <c r="H6" s="117">
        <f>'FM -  2013'!C9</f>
        <v>17628650</v>
      </c>
      <c r="I6" s="56"/>
      <c r="J6" s="55" t="s">
        <v>43</v>
      </c>
      <c r="K6" s="117">
        <f>'FM -  2013'!C10</f>
        <v>4494475.0000000009</v>
      </c>
      <c r="L6" s="56"/>
      <c r="M6" s="22"/>
      <c r="O6" s="20"/>
      <c r="P6" s="21"/>
      <c r="Q6" s="21"/>
      <c r="R6" s="21"/>
      <c r="S6" s="21"/>
      <c r="T6" s="21"/>
      <c r="U6" s="21"/>
      <c r="V6" s="21"/>
      <c r="W6" s="22"/>
    </row>
    <row r="7" spans="1:26" x14ac:dyDescent="0.25">
      <c r="A7" s="43" t="s">
        <v>44</v>
      </c>
      <c r="B7" s="16">
        <f>H6/3</f>
        <v>5876216.666666667</v>
      </c>
      <c r="C7" s="16"/>
      <c r="D7" s="57"/>
      <c r="E7" s="57"/>
      <c r="F7" s="57"/>
      <c r="G7" s="21"/>
      <c r="H7" s="21"/>
      <c r="I7" s="21"/>
      <c r="J7" s="21"/>
      <c r="K7" s="21"/>
      <c r="L7" s="21"/>
      <c r="M7" s="22"/>
      <c r="O7" s="28" t="s">
        <v>2</v>
      </c>
      <c r="P7" s="24">
        <f>V37</f>
        <v>7</v>
      </c>
      <c r="Q7" s="24">
        <f>X37</f>
        <v>9</v>
      </c>
      <c r="R7" s="24">
        <f>Z37</f>
        <v>6</v>
      </c>
      <c r="S7" s="24">
        <f>P7+Q7+R7</f>
        <v>22</v>
      </c>
      <c r="T7" s="106">
        <f>48-S7</f>
        <v>26</v>
      </c>
      <c r="U7" s="15">
        <f>T7*T37</f>
        <v>152.05004882301699</v>
      </c>
      <c r="V7" s="120">
        <f>U7*100/$U$24</f>
        <v>5.478371560902028</v>
      </c>
      <c r="W7" s="29">
        <f>$H$6*V7/100</f>
        <v>965762.94817095529</v>
      </c>
    </row>
    <row r="8" spans="1:26" x14ac:dyDescent="0.25">
      <c r="A8" s="43" t="s">
        <v>45</v>
      </c>
      <c r="B8" s="16">
        <f>H6/3</f>
        <v>5876216.666666667</v>
      </c>
      <c r="C8" s="16"/>
      <c r="D8" s="57"/>
      <c r="E8" s="57"/>
      <c r="F8" s="57"/>
      <c r="G8" s="21"/>
      <c r="H8" s="21"/>
      <c r="I8" s="21"/>
      <c r="J8" s="21"/>
      <c r="K8" s="21"/>
      <c r="L8" s="21"/>
      <c r="M8" s="22"/>
      <c r="O8" s="28" t="s">
        <v>3</v>
      </c>
      <c r="P8" s="24">
        <f t="shared" ref="P8:P22" si="0">V38</f>
        <v>1</v>
      </c>
      <c r="Q8" s="24">
        <f t="shared" ref="Q8:Q22" si="1">X38</f>
        <v>1</v>
      </c>
      <c r="R8" s="24">
        <f t="shared" ref="R8:R22" si="2">Z38</f>
        <v>1</v>
      </c>
      <c r="S8" s="24">
        <f t="shared" ref="S8:S22" si="3">P8+Q8+R8</f>
        <v>3</v>
      </c>
      <c r="T8" s="106">
        <f t="shared" ref="T8:T22" si="4">48-S8</f>
        <v>45</v>
      </c>
      <c r="U8" s="15">
        <f t="shared" ref="U8:U22" si="5">T8*T38</f>
        <v>540.02426090776601</v>
      </c>
      <c r="V8" s="120">
        <f t="shared" ref="V8:V22" si="6">U8*100/$U$24</f>
        <v>19.457103605391268</v>
      </c>
      <c r="W8" s="29">
        <f t="shared" ref="W8:W22" si="7">$H$6*V8/100</f>
        <v>3430024.6947318078</v>
      </c>
    </row>
    <row r="9" spans="1:26" x14ac:dyDescent="0.25">
      <c r="A9" s="43" t="s">
        <v>46</v>
      </c>
      <c r="B9" s="16">
        <f>H6/3</f>
        <v>5876216.666666667</v>
      </c>
      <c r="C9" s="16"/>
      <c r="D9" s="57"/>
      <c r="E9" s="57"/>
      <c r="F9" s="57"/>
      <c r="G9" s="21"/>
      <c r="H9" s="21"/>
      <c r="I9" s="21"/>
      <c r="J9" s="21"/>
      <c r="K9" s="21"/>
      <c r="L9" s="21"/>
      <c r="M9" s="22"/>
      <c r="O9" s="28" t="s">
        <v>7</v>
      </c>
      <c r="P9" s="24">
        <f t="shared" si="0"/>
        <v>11</v>
      </c>
      <c r="Q9" s="24">
        <f t="shared" si="1"/>
        <v>12</v>
      </c>
      <c r="R9" s="24">
        <f t="shared" si="2"/>
        <v>11</v>
      </c>
      <c r="S9" s="24">
        <f t="shared" si="3"/>
        <v>34</v>
      </c>
      <c r="T9" s="106">
        <f t="shared" si="4"/>
        <v>14</v>
      </c>
      <c r="U9" s="15">
        <f t="shared" si="5"/>
        <v>58.405107519502884</v>
      </c>
      <c r="V9" s="120">
        <f t="shared" si="6"/>
        <v>2.1043392127989518</v>
      </c>
      <c r="W9" s="29">
        <f t="shared" si="7"/>
        <v>370966.59463708242</v>
      </c>
    </row>
    <row r="10" spans="1:26" x14ac:dyDescent="0.25">
      <c r="A10" s="43"/>
      <c r="B10" s="16"/>
      <c r="C10" s="57"/>
      <c r="D10" s="44"/>
      <c r="E10" s="44"/>
      <c r="F10" s="44"/>
      <c r="G10" s="44">
        <f>B6*0.72+1700000</f>
        <v>17628650</v>
      </c>
      <c r="H10" s="44"/>
      <c r="I10" s="21"/>
      <c r="J10" s="44">
        <f>B6*0.28-1700000</f>
        <v>4494475.0000000009</v>
      </c>
      <c r="K10" s="44"/>
      <c r="L10" s="21"/>
      <c r="M10" s="22"/>
      <c r="O10" s="28" t="s">
        <v>9</v>
      </c>
      <c r="P10" s="24">
        <f t="shared" si="0"/>
        <v>6</v>
      </c>
      <c r="Q10" s="24">
        <f t="shared" si="1"/>
        <v>7</v>
      </c>
      <c r="R10" s="24">
        <f t="shared" si="2"/>
        <v>9</v>
      </c>
      <c r="S10" s="24">
        <f t="shared" si="3"/>
        <v>22</v>
      </c>
      <c r="T10" s="106">
        <f t="shared" si="4"/>
        <v>26</v>
      </c>
      <c r="U10" s="15">
        <f t="shared" si="5"/>
        <v>167.82886914050414</v>
      </c>
      <c r="V10" s="120">
        <f t="shared" si="6"/>
        <v>6.0468833184518171</v>
      </c>
      <c r="W10" s="29">
        <f t="shared" si="7"/>
        <v>1065983.8961182563</v>
      </c>
    </row>
    <row r="11" spans="1:26" x14ac:dyDescent="0.25">
      <c r="A11" s="43"/>
      <c r="B11" s="16"/>
      <c r="C11" s="57"/>
      <c r="D11" s="44"/>
      <c r="E11" s="44"/>
      <c r="F11" s="44"/>
      <c r="G11" s="44"/>
      <c r="H11" s="44"/>
      <c r="I11" s="21"/>
      <c r="J11" s="44"/>
      <c r="K11" s="44"/>
      <c r="L11" s="21"/>
      <c r="M11" s="37" t="s">
        <v>47</v>
      </c>
      <c r="O11" s="28" t="s">
        <v>5</v>
      </c>
      <c r="P11" s="24">
        <f t="shared" si="0"/>
        <v>4</v>
      </c>
      <c r="Q11" s="24">
        <f t="shared" si="1"/>
        <v>5</v>
      </c>
      <c r="R11" s="24">
        <f t="shared" si="2"/>
        <v>6</v>
      </c>
      <c r="S11" s="24">
        <f t="shared" si="3"/>
        <v>15</v>
      </c>
      <c r="T11" s="106">
        <f t="shared" si="4"/>
        <v>33</v>
      </c>
      <c r="U11" s="15">
        <f t="shared" si="5"/>
        <v>242.61743663799581</v>
      </c>
      <c r="V11" s="120">
        <f t="shared" si="6"/>
        <v>8.7415194887812664</v>
      </c>
      <c r="W11" s="29">
        <f t="shared" si="7"/>
        <v>1541011.8753590388</v>
      </c>
    </row>
    <row r="12" spans="1:26" x14ac:dyDescent="0.25">
      <c r="A12" s="43" t="s">
        <v>17</v>
      </c>
      <c r="B12" s="57"/>
      <c r="C12" s="54" t="s">
        <v>49</v>
      </c>
      <c r="D12" s="44"/>
      <c r="E12" s="54" t="s">
        <v>48</v>
      </c>
      <c r="F12" s="54" t="s">
        <v>50</v>
      </c>
      <c r="G12" s="21"/>
      <c r="H12" s="54" t="s">
        <v>48</v>
      </c>
      <c r="I12" s="54" t="s">
        <v>119</v>
      </c>
      <c r="J12" s="21"/>
      <c r="K12" s="54" t="s">
        <v>48</v>
      </c>
      <c r="L12" s="36" t="s">
        <v>51</v>
      </c>
      <c r="M12" s="58" t="s">
        <v>52</v>
      </c>
      <c r="O12" s="28" t="s">
        <v>1</v>
      </c>
      <c r="P12" s="24">
        <f t="shared" si="0"/>
        <v>5</v>
      </c>
      <c r="Q12" s="24">
        <f t="shared" si="1"/>
        <v>4</v>
      </c>
      <c r="R12" s="24">
        <f t="shared" si="2"/>
        <v>2</v>
      </c>
      <c r="S12" s="24">
        <f t="shared" si="3"/>
        <v>11</v>
      </c>
      <c r="T12" s="106">
        <f t="shared" si="4"/>
        <v>37</v>
      </c>
      <c r="U12" s="15">
        <f t="shared" si="5"/>
        <v>319.94624681671633</v>
      </c>
      <c r="V12" s="120">
        <f t="shared" si="6"/>
        <v>11.527680741610569</v>
      </c>
      <c r="W12" s="29">
        <f t="shared" si="7"/>
        <v>2032174.4910559314</v>
      </c>
    </row>
    <row r="13" spans="1:26" x14ac:dyDescent="0.25">
      <c r="A13" s="43" t="s">
        <v>34</v>
      </c>
      <c r="B13" s="44"/>
      <c r="C13" s="54" t="s">
        <v>53</v>
      </c>
      <c r="D13" s="44"/>
      <c r="E13" s="54" t="s">
        <v>54</v>
      </c>
      <c r="F13" s="54" t="s">
        <v>53</v>
      </c>
      <c r="G13" s="36"/>
      <c r="H13" s="54" t="s">
        <v>54</v>
      </c>
      <c r="I13" s="54" t="s">
        <v>55</v>
      </c>
      <c r="J13" s="59"/>
      <c r="K13" s="54" t="s">
        <v>54</v>
      </c>
      <c r="L13" s="36" t="s">
        <v>56</v>
      </c>
      <c r="M13" s="58" t="s">
        <v>54</v>
      </c>
      <c r="O13" s="28" t="s">
        <v>114</v>
      </c>
      <c r="P13" s="24">
        <f t="shared" si="0"/>
        <v>9</v>
      </c>
      <c r="Q13" s="24">
        <f t="shared" si="1"/>
        <v>11</v>
      </c>
      <c r="R13" s="24">
        <f t="shared" si="2"/>
        <v>10</v>
      </c>
      <c r="S13" s="24">
        <f t="shared" si="3"/>
        <v>30</v>
      </c>
      <c r="T13" s="106">
        <f t="shared" si="4"/>
        <v>18</v>
      </c>
      <c r="U13" s="15">
        <f t="shared" si="5"/>
        <v>83.99720557926949</v>
      </c>
      <c r="V13" s="120">
        <f t="shared" si="6"/>
        <v>3.026423903200036</v>
      </c>
      <c r="W13" s="29">
        <f t="shared" si="7"/>
        <v>533517.67741147312</v>
      </c>
    </row>
    <row r="14" spans="1:26" x14ac:dyDescent="0.25">
      <c r="A14" s="43" t="s">
        <v>38</v>
      </c>
      <c r="B14" s="44"/>
      <c r="C14" s="54" t="s">
        <v>16</v>
      </c>
      <c r="D14" s="54" t="s">
        <v>24</v>
      </c>
      <c r="E14" s="54"/>
      <c r="F14" s="54" t="s">
        <v>16</v>
      </c>
      <c r="G14" s="54" t="s">
        <v>24</v>
      </c>
      <c r="H14" s="54"/>
      <c r="I14" s="54" t="s">
        <v>16</v>
      </c>
      <c r="J14" s="54" t="s">
        <v>24</v>
      </c>
      <c r="K14" s="54"/>
      <c r="L14" s="60" t="s">
        <v>36</v>
      </c>
      <c r="M14" s="58" t="s">
        <v>57</v>
      </c>
      <c r="O14" s="28" t="s">
        <v>6</v>
      </c>
      <c r="P14" s="24">
        <f t="shared" si="0"/>
        <v>2</v>
      </c>
      <c r="Q14" s="24">
        <f t="shared" si="1"/>
        <v>3</v>
      </c>
      <c r="R14" s="24">
        <f t="shared" si="2"/>
        <v>3</v>
      </c>
      <c r="S14" s="24">
        <f t="shared" si="3"/>
        <v>8</v>
      </c>
      <c r="T14" s="106">
        <f t="shared" si="4"/>
        <v>40</v>
      </c>
      <c r="U14" s="15">
        <f t="shared" si="5"/>
        <v>381.50604207169977</v>
      </c>
      <c r="V14" s="120">
        <f t="shared" si="6"/>
        <v>13.745683525762264</v>
      </c>
      <c r="W14" s="29">
        <f t="shared" si="7"/>
        <v>2423178.4388642893</v>
      </c>
    </row>
    <row r="15" spans="1:26" x14ac:dyDescent="0.25">
      <c r="A15" s="28" t="s">
        <v>2</v>
      </c>
      <c r="B15" s="15"/>
      <c r="C15" s="24">
        <v>5707</v>
      </c>
      <c r="D15" s="62">
        <f t="shared" ref="D15:D30" si="8">C15*100/$C$32</f>
        <v>4.6674627060978802</v>
      </c>
      <c r="E15" s="24">
        <v>7</v>
      </c>
      <c r="F15" s="24">
        <v>6101</v>
      </c>
      <c r="G15" s="62">
        <f t="shared" ref="G15:G30" si="9">F15*100/$F$32</f>
        <v>5.4386778156144695</v>
      </c>
      <c r="H15" s="63" t="s">
        <v>72</v>
      </c>
      <c r="I15" s="24">
        <v>6526</v>
      </c>
      <c r="J15" s="62">
        <f>I15*100/$I$32</f>
        <v>5.9772304705031098</v>
      </c>
      <c r="K15" s="63" t="s">
        <v>72</v>
      </c>
      <c r="L15" s="62">
        <f>(D15+G15+J15)/3</f>
        <v>5.3611236640718198</v>
      </c>
      <c r="M15" s="64">
        <f>(E15+H15+K15)/3</f>
        <v>9</v>
      </c>
      <c r="O15" s="28" t="s">
        <v>103</v>
      </c>
      <c r="P15" s="24">
        <f t="shared" si="0"/>
        <v>10</v>
      </c>
      <c r="Q15" s="24">
        <f t="shared" si="1"/>
        <v>10</v>
      </c>
      <c r="R15" s="24">
        <f t="shared" si="2"/>
        <v>11</v>
      </c>
      <c r="S15" s="24">
        <f t="shared" si="3"/>
        <v>31</v>
      </c>
      <c r="T15" s="106">
        <f t="shared" si="4"/>
        <v>17</v>
      </c>
      <c r="U15" s="15">
        <f t="shared" si="5"/>
        <v>89.335801576643604</v>
      </c>
      <c r="V15" s="120">
        <f t="shared" si="6"/>
        <v>3.2187738084684154</v>
      </c>
      <c r="W15" s="29">
        <f t="shared" si="7"/>
        <v>567426.36898656737</v>
      </c>
    </row>
    <row r="16" spans="1:26" x14ac:dyDescent="0.25">
      <c r="A16" s="28" t="s">
        <v>3</v>
      </c>
      <c r="B16" s="15"/>
      <c r="C16" s="24">
        <v>14510</v>
      </c>
      <c r="D16" s="62">
        <f t="shared" si="8"/>
        <v>11.866985082439152</v>
      </c>
      <c r="E16" s="24">
        <v>16</v>
      </c>
      <c r="F16" s="24">
        <v>13394</v>
      </c>
      <c r="G16" s="62">
        <f t="shared" si="9"/>
        <v>11.939952575371285</v>
      </c>
      <c r="H16" s="63" t="s">
        <v>77</v>
      </c>
      <c r="I16" s="24">
        <v>14806</v>
      </c>
      <c r="J16" s="62">
        <f t="shared" ref="J16:J30" si="10">I16*100/$I$32</f>
        <v>13.560967567617077</v>
      </c>
      <c r="K16" s="63" t="s">
        <v>77</v>
      </c>
      <c r="L16" s="62">
        <f t="shared" ref="L16:M30" si="11">(D16+G16+J16)/3</f>
        <v>12.455968408475838</v>
      </c>
      <c r="M16" s="64">
        <f t="shared" si="11"/>
        <v>16</v>
      </c>
      <c r="O16" s="28" t="s">
        <v>133</v>
      </c>
      <c r="P16" s="24">
        <f t="shared" si="0"/>
        <v>8</v>
      </c>
      <c r="Q16" s="24">
        <f t="shared" si="1"/>
        <v>5</v>
      </c>
      <c r="R16" s="24">
        <f t="shared" si="2"/>
        <v>8</v>
      </c>
      <c r="S16" s="24">
        <f t="shared" si="3"/>
        <v>21</v>
      </c>
      <c r="T16" s="106">
        <f t="shared" si="4"/>
        <v>27</v>
      </c>
      <c r="U16" s="15">
        <f t="shared" si="5"/>
        <v>154.9465076139881</v>
      </c>
      <c r="V16" s="120">
        <f t="shared" si="6"/>
        <v>5.5827311292850057</v>
      </c>
      <c r="W16" s="29">
        <f t="shared" si="7"/>
        <v>984160.13122270117</v>
      </c>
    </row>
    <row r="17" spans="1:23" x14ac:dyDescent="0.25">
      <c r="A17" s="28" t="s">
        <v>7</v>
      </c>
      <c r="B17" s="15"/>
      <c r="C17" s="24">
        <v>4549</v>
      </c>
      <c r="D17" s="62">
        <f t="shared" si="8"/>
        <v>3.7203938759487047</v>
      </c>
      <c r="E17" s="24">
        <v>5</v>
      </c>
      <c r="F17" s="24">
        <v>4532</v>
      </c>
      <c r="G17" s="62">
        <f t="shared" si="9"/>
        <v>4.0400078446754266</v>
      </c>
      <c r="H17" s="63" t="s">
        <v>60</v>
      </c>
      <c r="I17" s="24">
        <v>5069</v>
      </c>
      <c r="J17" s="62">
        <f t="shared" si="10"/>
        <v>4.6427491962887313</v>
      </c>
      <c r="K17" s="63" t="s">
        <v>61</v>
      </c>
      <c r="L17" s="62">
        <f t="shared" si="11"/>
        <v>4.1343836389709541</v>
      </c>
      <c r="M17" s="64">
        <f t="shared" si="11"/>
        <v>6</v>
      </c>
      <c r="O17" s="28" t="s">
        <v>8</v>
      </c>
      <c r="P17" s="24">
        <f t="shared" si="0"/>
        <v>3</v>
      </c>
      <c r="Q17" s="24">
        <f t="shared" si="1"/>
        <v>2</v>
      </c>
      <c r="R17" s="24">
        <f t="shared" si="2"/>
        <v>5</v>
      </c>
      <c r="S17" s="24">
        <f t="shared" si="3"/>
        <v>10</v>
      </c>
      <c r="T17" s="106">
        <f t="shared" si="4"/>
        <v>38</v>
      </c>
      <c r="U17" s="15">
        <f t="shared" si="5"/>
        <v>350.1419145119562</v>
      </c>
      <c r="V17" s="120">
        <f t="shared" si="6"/>
        <v>12.615632297328904</v>
      </c>
      <c r="W17" s="29">
        <f t="shared" si="7"/>
        <v>2223965.662983072</v>
      </c>
    </row>
    <row r="18" spans="1:23" x14ac:dyDescent="0.25">
      <c r="A18" s="28" t="s">
        <v>9</v>
      </c>
      <c r="B18" s="15"/>
      <c r="C18" s="24">
        <v>9565</v>
      </c>
      <c r="D18" s="62">
        <f t="shared" si="8"/>
        <v>7.8227231091337348</v>
      </c>
      <c r="E18" s="24">
        <v>11</v>
      </c>
      <c r="F18" s="24">
        <v>9184</v>
      </c>
      <c r="G18" s="62">
        <f t="shared" si="9"/>
        <v>8.1869885360765924</v>
      </c>
      <c r="H18" s="63" t="s">
        <v>58</v>
      </c>
      <c r="I18" s="24">
        <v>8192</v>
      </c>
      <c r="J18" s="62">
        <f t="shared" si="10"/>
        <v>7.5031369927001954</v>
      </c>
      <c r="K18" s="63" t="s">
        <v>58</v>
      </c>
      <c r="L18" s="62">
        <f t="shared" si="11"/>
        <v>7.8376162126368412</v>
      </c>
      <c r="M18" s="64">
        <f t="shared" si="11"/>
        <v>11</v>
      </c>
      <c r="O18" s="28" t="s">
        <v>10</v>
      </c>
      <c r="P18" s="24">
        <f t="shared" si="0"/>
        <v>13</v>
      </c>
      <c r="Q18" s="24">
        <f t="shared" si="1"/>
        <v>14</v>
      </c>
      <c r="R18" s="24">
        <f t="shared" si="2"/>
        <v>14</v>
      </c>
      <c r="S18" s="24">
        <f t="shared" si="3"/>
        <v>41</v>
      </c>
      <c r="T18" s="106">
        <f t="shared" si="4"/>
        <v>7</v>
      </c>
      <c r="U18" s="15">
        <f t="shared" si="5"/>
        <v>24.66255833015412</v>
      </c>
      <c r="V18" s="120">
        <f t="shared" si="6"/>
        <v>0.88859332319103468</v>
      </c>
      <c r="W18" s="29">
        <f t="shared" si="7"/>
        <v>156647.00686871633</v>
      </c>
    </row>
    <row r="19" spans="1:23" x14ac:dyDescent="0.25">
      <c r="A19" s="28" t="s">
        <v>5</v>
      </c>
      <c r="B19" s="15"/>
      <c r="C19" s="24">
        <v>10255</v>
      </c>
      <c r="D19" s="62">
        <f t="shared" si="8"/>
        <v>8.3870387333158867</v>
      </c>
      <c r="E19" s="24">
        <v>13</v>
      </c>
      <c r="F19" s="24">
        <v>9875</v>
      </c>
      <c r="G19" s="62">
        <f t="shared" si="9"/>
        <v>8.8029738451389754</v>
      </c>
      <c r="H19" s="63" t="s">
        <v>64</v>
      </c>
      <c r="I19" s="24">
        <v>10284</v>
      </c>
      <c r="J19" s="62">
        <f t="shared" si="10"/>
        <v>9.4192212930821295</v>
      </c>
      <c r="K19" s="63" t="s">
        <v>66</v>
      </c>
      <c r="L19" s="62">
        <f t="shared" si="11"/>
        <v>8.8697446238456639</v>
      </c>
      <c r="M19" s="64">
        <f t="shared" si="11"/>
        <v>13.333333333333334</v>
      </c>
      <c r="O19" s="28" t="s">
        <v>11</v>
      </c>
      <c r="P19" s="24">
        <f t="shared" si="0"/>
        <v>15</v>
      </c>
      <c r="Q19" s="24">
        <f t="shared" si="1"/>
        <v>14</v>
      </c>
      <c r="R19" s="24">
        <f t="shared" si="2"/>
        <v>11</v>
      </c>
      <c r="S19" s="24">
        <f t="shared" si="3"/>
        <v>40</v>
      </c>
      <c r="T19" s="106">
        <f t="shared" si="4"/>
        <v>8</v>
      </c>
      <c r="U19" s="15">
        <f t="shared" si="5"/>
        <v>33.364473426431879</v>
      </c>
      <c r="V19" s="120">
        <f t="shared" si="6"/>
        <v>1.2021237992273934</v>
      </c>
      <c r="W19" s="29">
        <f t="shared" si="7"/>
        <v>211918.19713249989</v>
      </c>
    </row>
    <row r="20" spans="1:23" x14ac:dyDescent="0.25">
      <c r="A20" s="28" t="s">
        <v>1</v>
      </c>
      <c r="B20" s="15"/>
      <c r="C20" s="24">
        <v>9818</v>
      </c>
      <c r="D20" s="62">
        <f t="shared" si="8"/>
        <v>8.0296388380005226</v>
      </c>
      <c r="E20" s="24">
        <v>12</v>
      </c>
      <c r="F20" s="24">
        <v>9412</v>
      </c>
      <c r="G20" s="62">
        <f t="shared" si="9"/>
        <v>8.3902369448554968</v>
      </c>
      <c r="H20" s="63" t="s">
        <v>59</v>
      </c>
      <c r="I20" s="24">
        <v>8828</v>
      </c>
      <c r="J20" s="62">
        <f t="shared" si="10"/>
        <v>8.0856559291451813</v>
      </c>
      <c r="K20" s="63" t="s">
        <v>59</v>
      </c>
      <c r="L20" s="62">
        <f t="shared" si="11"/>
        <v>8.1685105706670669</v>
      </c>
      <c r="M20" s="64">
        <f t="shared" si="11"/>
        <v>12</v>
      </c>
      <c r="O20" s="28" t="s">
        <v>134</v>
      </c>
      <c r="P20" s="24">
        <f t="shared" si="0"/>
        <v>14</v>
      </c>
      <c r="Q20" s="24">
        <f t="shared" si="1"/>
        <v>13</v>
      </c>
      <c r="R20" s="24">
        <f t="shared" si="2"/>
        <v>16</v>
      </c>
      <c r="S20" s="24">
        <f t="shared" si="3"/>
        <v>43</v>
      </c>
      <c r="T20" s="106">
        <f t="shared" si="4"/>
        <v>5</v>
      </c>
      <c r="U20" s="15">
        <f t="shared" si="5"/>
        <v>19.272808316995238</v>
      </c>
      <c r="V20" s="120">
        <f t="shared" si="6"/>
        <v>0.69440033594096273</v>
      </c>
      <c r="W20" s="29">
        <f t="shared" si="7"/>
        <v>122413.40482185653</v>
      </c>
    </row>
    <row r="21" spans="1:23" x14ac:dyDescent="0.25">
      <c r="A21" s="28" t="s">
        <v>114</v>
      </c>
      <c r="B21" s="15"/>
      <c r="C21" s="24">
        <v>5713</v>
      </c>
      <c r="D21" s="62">
        <f t="shared" si="8"/>
        <v>4.6723697984820731</v>
      </c>
      <c r="E21" s="24">
        <v>8</v>
      </c>
      <c r="F21" s="24">
        <v>5114</v>
      </c>
      <c r="G21" s="62">
        <f t="shared" si="9"/>
        <v>4.5588261512952633</v>
      </c>
      <c r="H21" s="63" t="s">
        <v>62</v>
      </c>
      <c r="I21" s="24">
        <v>5296</v>
      </c>
      <c r="J21" s="62">
        <f t="shared" si="10"/>
        <v>4.8506608292651654</v>
      </c>
      <c r="K21" s="63" t="s">
        <v>60</v>
      </c>
      <c r="L21" s="62">
        <f t="shared" si="11"/>
        <v>4.6939522596808345</v>
      </c>
      <c r="M21" s="64">
        <f t="shared" si="11"/>
        <v>7.666666666666667</v>
      </c>
      <c r="O21" s="28" t="s">
        <v>4</v>
      </c>
      <c r="P21" s="24">
        <f t="shared" si="0"/>
        <v>12</v>
      </c>
      <c r="Q21" s="24">
        <f t="shared" si="1"/>
        <v>7</v>
      </c>
      <c r="R21" s="24">
        <f t="shared" si="2"/>
        <v>4</v>
      </c>
      <c r="S21" s="24">
        <f t="shared" si="3"/>
        <v>23</v>
      </c>
      <c r="T21" s="106">
        <f t="shared" si="4"/>
        <v>25</v>
      </c>
      <c r="U21" s="15">
        <f t="shared" si="5"/>
        <v>146.21243806452017</v>
      </c>
      <c r="V21" s="120">
        <f t="shared" si="6"/>
        <v>5.2680421265445982</v>
      </c>
      <c r="W21" s="29">
        <f t="shared" si="7"/>
        <v>928684.70834110444</v>
      </c>
    </row>
    <row r="22" spans="1:23" x14ac:dyDescent="0.25">
      <c r="A22" s="28" t="s">
        <v>6</v>
      </c>
      <c r="B22" s="15"/>
      <c r="C22" s="24">
        <v>13011</v>
      </c>
      <c r="D22" s="62">
        <f t="shared" si="8"/>
        <v>10.641029835121696</v>
      </c>
      <c r="E22" s="24">
        <v>14</v>
      </c>
      <c r="F22" s="24">
        <v>12435</v>
      </c>
      <c r="G22" s="62">
        <f t="shared" si="9"/>
        <v>11.085061241954751</v>
      </c>
      <c r="H22" s="63" t="s">
        <v>65</v>
      </c>
      <c r="I22" s="24">
        <v>11313</v>
      </c>
      <c r="J22" s="62">
        <f t="shared" si="10"/>
        <v>10.361692968556801</v>
      </c>
      <c r="K22" s="63" t="s">
        <v>65</v>
      </c>
      <c r="L22" s="62">
        <f t="shared" si="11"/>
        <v>10.695928015211082</v>
      </c>
      <c r="M22" s="64">
        <f t="shared" si="11"/>
        <v>14.666666666666666</v>
      </c>
      <c r="O22" s="28" t="s">
        <v>135</v>
      </c>
      <c r="P22" s="24">
        <f t="shared" si="0"/>
        <v>16</v>
      </c>
      <c r="Q22" s="24">
        <f t="shared" si="1"/>
        <v>14</v>
      </c>
      <c r="R22" s="24">
        <f t="shared" si="2"/>
        <v>15</v>
      </c>
      <c r="S22" s="24">
        <f t="shared" si="3"/>
        <v>45</v>
      </c>
      <c r="T22" s="106">
        <f t="shared" si="4"/>
        <v>3</v>
      </c>
      <c r="U22" s="15">
        <f t="shared" si="5"/>
        <v>11.148965151015258</v>
      </c>
      <c r="V22" s="120">
        <f t="shared" si="6"/>
        <v>0.40169782311548913</v>
      </c>
      <c r="W22" s="29">
        <f t="shared" si="7"/>
        <v>70813.903294648684</v>
      </c>
    </row>
    <row r="23" spans="1:23" x14ac:dyDescent="0.25">
      <c r="A23" s="28" t="s">
        <v>103</v>
      </c>
      <c r="B23" s="15"/>
      <c r="C23" s="24">
        <v>7056</v>
      </c>
      <c r="D23" s="62">
        <f t="shared" si="8"/>
        <v>5.7707406438105204</v>
      </c>
      <c r="E23" s="24">
        <v>10</v>
      </c>
      <c r="F23" s="24">
        <v>5437</v>
      </c>
      <c r="G23" s="62">
        <f t="shared" si="9"/>
        <v>4.8467613970653787</v>
      </c>
      <c r="H23" s="65" t="s">
        <v>68</v>
      </c>
      <c r="I23" s="79">
        <v>6183</v>
      </c>
      <c r="J23" s="62">
        <f t="shared" si="10"/>
        <v>5.6630732453448864</v>
      </c>
      <c r="K23" s="63" t="s">
        <v>69</v>
      </c>
      <c r="L23" s="62">
        <f t="shared" si="11"/>
        <v>5.4268584287402613</v>
      </c>
      <c r="M23" s="64">
        <f t="shared" si="11"/>
        <v>6.666666666666667</v>
      </c>
      <c r="O23" s="61"/>
      <c r="P23" s="21"/>
      <c r="Q23" s="21"/>
      <c r="R23" s="21"/>
      <c r="S23" s="21"/>
      <c r="T23" s="21"/>
      <c r="U23" s="21"/>
      <c r="V23" s="23"/>
      <c r="W23" s="32"/>
    </row>
    <row r="24" spans="1:23" x14ac:dyDescent="0.25">
      <c r="A24" s="28" t="s">
        <v>133</v>
      </c>
      <c r="B24" s="15"/>
      <c r="C24" s="24">
        <v>6010</v>
      </c>
      <c r="D24" s="62">
        <f t="shared" si="8"/>
        <v>4.9152708714996072</v>
      </c>
      <c r="E24" s="24">
        <v>9</v>
      </c>
      <c r="F24" s="24">
        <v>5777</v>
      </c>
      <c r="G24" s="62">
        <f t="shared" si="9"/>
        <v>5.1498511294549729</v>
      </c>
      <c r="H24" s="81" t="s">
        <v>69</v>
      </c>
      <c r="I24" s="24">
        <v>5482</v>
      </c>
      <c r="J24" s="62">
        <f t="shared" si="10"/>
        <v>5.0210201408670008</v>
      </c>
      <c r="K24" s="63" t="s">
        <v>62</v>
      </c>
      <c r="L24" s="62">
        <f t="shared" si="11"/>
        <v>5.0287140472738612</v>
      </c>
      <c r="M24" s="64">
        <f t="shared" si="11"/>
        <v>8.6666666666666661</v>
      </c>
      <c r="O24" s="109" t="s">
        <v>14</v>
      </c>
      <c r="P24" s="21"/>
      <c r="Q24" s="21"/>
      <c r="R24" s="21"/>
      <c r="S24" s="21"/>
      <c r="T24" s="21"/>
      <c r="U24" s="15">
        <f>SUM(U7:U22)</f>
        <v>2775.460684488176</v>
      </c>
      <c r="V24" s="15">
        <f>SUM(V7:V22)</f>
        <v>99.999999999999986</v>
      </c>
      <c r="W24" s="29">
        <f>SUM(W7:W22)</f>
        <v>17628650</v>
      </c>
    </row>
    <row r="25" spans="1:23" ht="15.75" thickBot="1" x14ac:dyDescent="0.3">
      <c r="A25" s="28" t="s">
        <v>8</v>
      </c>
      <c r="B25" s="15"/>
      <c r="C25" s="24">
        <v>13337</v>
      </c>
      <c r="D25" s="62">
        <f t="shared" si="8"/>
        <v>10.907648521329495</v>
      </c>
      <c r="E25" s="79">
        <v>15</v>
      </c>
      <c r="F25" s="24">
        <v>10757</v>
      </c>
      <c r="G25" s="62">
        <f t="shared" si="9"/>
        <v>9.5892242685731599</v>
      </c>
      <c r="H25" s="118" t="s">
        <v>66</v>
      </c>
      <c r="I25" s="24">
        <v>9897</v>
      </c>
      <c r="J25" s="62">
        <f t="shared" si="10"/>
        <v>9.0647640157170208</v>
      </c>
      <c r="K25" s="63" t="s">
        <v>64</v>
      </c>
      <c r="L25" s="62">
        <f t="shared" si="11"/>
        <v>9.8538789352065574</v>
      </c>
      <c r="M25" s="64">
        <f t="shared" si="11"/>
        <v>14</v>
      </c>
      <c r="O25" s="25"/>
      <c r="P25" s="27"/>
      <c r="Q25" s="27"/>
      <c r="R25" s="27"/>
      <c r="S25" s="27"/>
      <c r="T25" s="27"/>
      <c r="U25" s="27"/>
      <c r="V25" s="27"/>
      <c r="W25" s="110"/>
    </row>
    <row r="26" spans="1:23" x14ac:dyDescent="0.25">
      <c r="A26" s="28" t="s">
        <v>10</v>
      </c>
      <c r="B26" s="15"/>
      <c r="C26" s="24">
        <v>3210</v>
      </c>
      <c r="D26" s="62">
        <f t="shared" si="8"/>
        <v>2.6252944255430517</v>
      </c>
      <c r="E26" s="79">
        <v>3</v>
      </c>
      <c r="F26" s="24">
        <v>3659</v>
      </c>
      <c r="G26" s="62">
        <f t="shared" si="9"/>
        <v>3.2617803847456721</v>
      </c>
      <c r="H26" s="63" t="s">
        <v>67</v>
      </c>
      <c r="I26" s="24">
        <v>3380</v>
      </c>
      <c r="J26" s="62">
        <f t="shared" si="10"/>
        <v>3.0957767377107737</v>
      </c>
      <c r="K26" s="63" t="s">
        <v>70</v>
      </c>
      <c r="L26" s="62">
        <f t="shared" si="11"/>
        <v>2.9942838493331654</v>
      </c>
      <c r="M26" s="64">
        <f t="shared" si="11"/>
        <v>3.3333333333333335</v>
      </c>
    </row>
    <row r="27" spans="1:23" x14ac:dyDescent="0.25">
      <c r="A27" s="28" t="s">
        <v>11</v>
      </c>
      <c r="B27" s="15"/>
      <c r="C27" s="24">
        <v>5437</v>
      </c>
      <c r="D27" s="62">
        <f t="shared" si="8"/>
        <v>4.4466435488092122</v>
      </c>
      <c r="E27" s="66">
        <v>1</v>
      </c>
      <c r="F27" s="24">
        <v>3917</v>
      </c>
      <c r="G27" s="62">
        <f t="shared" si="9"/>
        <v>3.4917720052060117</v>
      </c>
      <c r="H27" s="118" t="s">
        <v>63</v>
      </c>
      <c r="I27" s="24">
        <v>3072</v>
      </c>
      <c r="J27" s="62">
        <f t="shared" si="10"/>
        <v>2.8136763722625733</v>
      </c>
      <c r="K27" s="63" t="s">
        <v>71</v>
      </c>
      <c r="L27" s="62">
        <f t="shared" si="11"/>
        <v>3.5840306420925994</v>
      </c>
      <c r="M27" s="64">
        <f t="shared" si="11"/>
        <v>2.6666666666666665</v>
      </c>
    </row>
    <row r="28" spans="1:23" x14ac:dyDescent="0.25">
      <c r="A28" s="28" t="s">
        <v>134</v>
      </c>
      <c r="B28" s="15"/>
      <c r="C28" s="24">
        <v>3818</v>
      </c>
      <c r="D28" s="62">
        <f t="shared" si="8"/>
        <v>3.1225464538079035</v>
      </c>
      <c r="E28" s="79">
        <v>4</v>
      </c>
      <c r="F28" s="24">
        <v>5437</v>
      </c>
      <c r="G28" s="62">
        <f t="shared" si="9"/>
        <v>4.8467613970653787</v>
      </c>
      <c r="H28" s="65" t="s">
        <v>68</v>
      </c>
      <c r="I28" s="24">
        <v>3690</v>
      </c>
      <c r="J28" s="62">
        <f t="shared" si="10"/>
        <v>3.3797089237138329</v>
      </c>
      <c r="K28" s="63" t="s">
        <v>67</v>
      </c>
      <c r="L28" s="62">
        <f t="shared" si="11"/>
        <v>3.7830055915290384</v>
      </c>
      <c r="M28" s="64">
        <f t="shared" si="11"/>
        <v>3</v>
      </c>
    </row>
    <row r="29" spans="1:23" x14ac:dyDescent="0.25">
      <c r="A29" s="28" t="s">
        <v>4</v>
      </c>
      <c r="B29" s="15"/>
      <c r="C29" s="24">
        <v>4839</v>
      </c>
      <c r="D29" s="62">
        <f t="shared" si="8"/>
        <v>3.9575700078513476</v>
      </c>
      <c r="E29" s="79">
        <v>6</v>
      </c>
      <c r="F29" s="24">
        <v>4208</v>
      </c>
      <c r="G29" s="62">
        <f t="shared" si="9"/>
        <v>3.75118115851593</v>
      </c>
      <c r="H29" s="65" t="s">
        <v>61</v>
      </c>
      <c r="I29" s="24">
        <v>4445</v>
      </c>
      <c r="J29" s="62">
        <f t="shared" si="10"/>
        <v>4.0712211831728959</v>
      </c>
      <c r="K29" s="63" t="s">
        <v>63</v>
      </c>
      <c r="L29" s="62">
        <f t="shared" si="11"/>
        <v>3.9266574498467244</v>
      </c>
      <c r="M29" s="64">
        <f t="shared" si="11"/>
        <v>5.666666666666667</v>
      </c>
    </row>
    <row r="30" spans="1:23" x14ac:dyDescent="0.25">
      <c r="A30" s="28" t="s">
        <v>135</v>
      </c>
      <c r="B30" s="15"/>
      <c r="C30" s="24">
        <v>5437</v>
      </c>
      <c r="D30" s="62">
        <f t="shared" si="8"/>
        <v>4.4466435488092122</v>
      </c>
      <c r="E30" s="66">
        <v>1</v>
      </c>
      <c r="F30" s="24">
        <v>2939</v>
      </c>
      <c r="G30" s="62">
        <f t="shared" si="9"/>
        <v>2.6199433043912355</v>
      </c>
      <c r="H30" s="118" t="s">
        <v>70</v>
      </c>
      <c r="I30" s="24">
        <v>2718</v>
      </c>
      <c r="J30" s="62">
        <f t="shared" si="10"/>
        <v>2.4894441340526283</v>
      </c>
      <c r="K30" s="63" t="s">
        <v>68</v>
      </c>
      <c r="L30" s="62">
        <f t="shared" si="11"/>
        <v>3.1853436624176923</v>
      </c>
      <c r="M30" s="64">
        <f t="shared" si="11"/>
        <v>1.6666666666666667</v>
      </c>
    </row>
    <row r="31" spans="1:23" x14ac:dyDescent="0.25">
      <c r="A31" s="20"/>
      <c r="B31" s="21"/>
      <c r="C31" s="44"/>
      <c r="D31" s="67"/>
      <c r="E31" s="44"/>
      <c r="F31" s="44"/>
      <c r="G31" s="23"/>
      <c r="H31" s="23"/>
      <c r="I31" s="21"/>
      <c r="J31" s="21"/>
      <c r="K31" s="21"/>
      <c r="L31" s="23"/>
      <c r="M31" s="68"/>
    </row>
    <row r="32" spans="1:23" ht="16.5" thickBot="1" x14ac:dyDescent="0.3">
      <c r="A32" s="25" t="s">
        <v>16</v>
      </c>
      <c r="B32" s="69"/>
      <c r="C32" s="26">
        <f t="shared" ref="C32:M32" si="12">SUM(C15:C30)</f>
        <v>122272</v>
      </c>
      <c r="D32" s="70">
        <f>SUM(D15:D30)</f>
        <v>99.999999999999972</v>
      </c>
      <c r="E32" s="26"/>
      <c r="F32" s="26">
        <f t="shared" si="12"/>
        <v>112178</v>
      </c>
      <c r="G32" s="70">
        <f t="shared" si="12"/>
        <v>100.00000000000003</v>
      </c>
      <c r="H32" s="70"/>
      <c r="I32" s="26">
        <f t="shared" si="12"/>
        <v>109181</v>
      </c>
      <c r="J32" s="70">
        <f t="shared" si="12"/>
        <v>100.00000000000001</v>
      </c>
      <c r="K32" s="70"/>
      <c r="L32" s="70">
        <f t="shared" si="12"/>
        <v>100.00000000000001</v>
      </c>
      <c r="M32" s="71">
        <f t="shared" si="12"/>
        <v>135.33333333333334</v>
      </c>
      <c r="O32" s="2" t="s">
        <v>140</v>
      </c>
    </row>
    <row r="33" spans="1:27" ht="15.75" thickBot="1" x14ac:dyDescent="0.3">
      <c r="A33" s="72"/>
      <c r="B33" s="52"/>
      <c r="C33" s="52"/>
      <c r="D33" s="52"/>
      <c r="E33" s="52"/>
      <c r="F33" s="52"/>
      <c r="G33" s="21"/>
      <c r="H33" s="21"/>
      <c r="I33" s="17"/>
      <c r="J33" s="17"/>
      <c r="K33" s="17"/>
      <c r="L33" s="17"/>
      <c r="M33" s="52"/>
    </row>
    <row r="34" spans="1:27" ht="15.75" thickTop="1" x14ac:dyDescent="0.25">
      <c r="A34" s="53" t="s">
        <v>17</v>
      </c>
      <c r="B34" s="52"/>
      <c r="C34" s="45">
        <v>2011</v>
      </c>
      <c r="D34" s="52"/>
      <c r="E34" s="73" t="s">
        <v>48</v>
      </c>
      <c r="F34" s="45">
        <v>2012</v>
      </c>
      <c r="G34" s="52"/>
      <c r="H34" s="73" t="s">
        <v>48</v>
      </c>
      <c r="I34" s="45">
        <v>2013</v>
      </c>
      <c r="J34" s="52"/>
      <c r="K34" s="73" t="s">
        <v>48</v>
      </c>
      <c r="L34" s="45" t="s">
        <v>51</v>
      </c>
      <c r="M34" s="74" t="s">
        <v>52</v>
      </c>
      <c r="O34" s="97"/>
      <c r="P34" s="95"/>
      <c r="Q34" s="96" t="s">
        <v>53</v>
      </c>
      <c r="R34" s="96" t="s">
        <v>79</v>
      </c>
      <c r="S34" s="96" t="s">
        <v>35</v>
      </c>
      <c r="T34" s="96" t="s">
        <v>16</v>
      </c>
      <c r="U34" s="96" t="s">
        <v>34</v>
      </c>
      <c r="V34" s="96"/>
      <c r="W34" s="96" t="s">
        <v>81</v>
      </c>
      <c r="X34" s="96"/>
      <c r="Y34" s="96" t="s">
        <v>35</v>
      </c>
      <c r="Z34" s="96"/>
      <c r="AA34" s="98" t="s">
        <v>16</v>
      </c>
    </row>
    <row r="35" spans="1:27" x14ac:dyDescent="0.25">
      <c r="A35" s="43" t="s">
        <v>73</v>
      </c>
      <c r="B35" s="21"/>
      <c r="C35" s="36" t="s">
        <v>14</v>
      </c>
      <c r="D35" s="36" t="s">
        <v>24</v>
      </c>
      <c r="E35" s="54" t="s">
        <v>54</v>
      </c>
      <c r="F35" s="36" t="s">
        <v>14</v>
      </c>
      <c r="G35" s="36" t="s">
        <v>24</v>
      </c>
      <c r="H35" s="54" t="s">
        <v>54</v>
      </c>
      <c r="I35" s="36" t="s">
        <v>14</v>
      </c>
      <c r="J35" s="36" t="s">
        <v>24</v>
      </c>
      <c r="K35" s="54" t="s">
        <v>54</v>
      </c>
      <c r="L35" s="36" t="s">
        <v>56</v>
      </c>
      <c r="M35" s="58" t="s">
        <v>54</v>
      </c>
      <c r="O35" s="82"/>
      <c r="P35" s="83"/>
      <c r="Q35" s="84" t="s">
        <v>78</v>
      </c>
      <c r="R35" s="84" t="s">
        <v>78</v>
      </c>
      <c r="S35" s="84" t="s">
        <v>78</v>
      </c>
      <c r="T35" s="84" t="s">
        <v>78</v>
      </c>
      <c r="U35" s="84" t="s">
        <v>82</v>
      </c>
      <c r="V35" s="84"/>
      <c r="W35" s="84" t="s">
        <v>82</v>
      </c>
      <c r="X35" s="84"/>
      <c r="Y35" s="84" t="s">
        <v>82</v>
      </c>
      <c r="Z35" s="84"/>
      <c r="AA35" s="85" t="s">
        <v>80</v>
      </c>
    </row>
    <row r="36" spans="1:27" x14ac:dyDescent="0.25">
      <c r="A36" s="43" t="s">
        <v>38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60" t="s">
        <v>36</v>
      </c>
      <c r="M36" s="58" t="s">
        <v>74</v>
      </c>
      <c r="O36" s="86" t="s">
        <v>38</v>
      </c>
      <c r="P36" s="21"/>
      <c r="Q36" s="87"/>
      <c r="R36" s="87"/>
      <c r="S36" s="87"/>
      <c r="T36" s="87"/>
      <c r="U36" s="36" t="s">
        <v>57</v>
      </c>
      <c r="V36" s="36" t="s">
        <v>92</v>
      </c>
      <c r="W36" s="36" t="s">
        <v>57</v>
      </c>
      <c r="X36" s="36" t="s">
        <v>92</v>
      </c>
      <c r="Y36" s="36" t="s">
        <v>57</v>
      </c>
      <c r="Z36" s="36" t="s">
        <v>92</v>
      </c>
      <c r="AA36" s="88"/>
    </row>
    <row r="37" spans="1:27" x14ac:dyDescent="0.25">
      <c r="A37" s="28" t="s">
        <v>2</v>
      </c>
      <c r="B37" s="21"/>
      <c r="C37" s="23">
        <v>5</v>
      </c>
      <c r="D37" s="62">
        <f t="shared" ref="D37:D52" si="13">C37*100/$C$54</f>
        <v>2.8571428571428572</v>
      </c>
      <c r="E37" s="63" t="s">
        <v>70</v>
      </c>
      <c r="F37" s="23">
        <v>12</v>
      </c>
      <c r="G37" s="62">
        <f>F37*100/$F$54</f>
        <v>6.6298342541436464</v>
      </c>
      <c r="H37" s="24">
        <v>11</v>
      </c>
      <c r="I37" s="23">
        <f>13+6</f>
        <v>19</v>
      </c>
      <c r="J37" s="62">
        <f>I37*100/$I$54</f>
        <v>7.08955223880597</v>
      </c>
      <c r="K37" s="24">
        <v>10</v>
      </c>
      <c r="L37" s="62">
        <f>(D37+G37+J37)/3</f>
        <v>5.5255097833641571</v>
      </c>
      <c r="M37" s="64">
        <f t="shared" ref="M37:M52" si="14">(E37+H37+K37)/3</f>
        <v>8</v>
      </c>
      <c r="O37" s="28" t="s">
        <v>2</v>
      </c>
      <c r="P37" s="21"/>
      <c r="Q37" s="87">
        <f>L15</f>
        <v>5.3611236640718198</v>
      </c>
      <c r="R37" s="87">
        <f>L37</f>
        <v>5.5255097833641571</v>
      </c>
      <c r="S37" s="87">
        <f>L59</f>
        <v>6.6576029552198293</v>
      </c>
      <c r="T37" s="87">
        <f>SUM((Q37+R37+S37)/3)</f>
        <v>5.8480788008852684</v>
      </c>
      <c r="U37" s="87">
        <f>M15</f>
        <v>9</v>
      </c>
      <c r="V37" s="24">
        <v>7</v>
      </c>
      <c r="W37" s="87">
        <f>M37</f>
        <v>8</v>
      </c>
      <c r="X37" s="24">
        <v>9</v>
      </c>
      <c r="Y37" s="87">
        <f>M59</f>
        <v>10</v>
      </c>
      <c r="Z37" s="24">
        <v>6</v>
      </c>
      <c r="AA37" s="90">
        <f t="shared" ref="AA37:AA52" si="15">SUM((U37+W37+Y37)/3)</f>
        <v>9</v>
      </c>
    </row>
    <row r="38" spans="1:27" x14ac:dyDescent="0.25">
      <c r="A38" s="28" t="s">
        <v>3</v>
      </c>
      <c r="B38" s="21"/>
      <c r="C38" s="23">
        <v>25</v>
      </c>
      <c r="D38" s="62">
        <f t="shared" si="13"/>
        <v>14.285714285714286</v>
      </c>
      <c r="E38" s="63" t="s">
        <v>77</v>
      </c>
      <c r="F38" s="23">
        <v>27</v>
      </c>
      <c r="G38" s="62">
        <f t="shared" ref="G38:G52" si="16">F38*100/$F$54</f>
        <v>14.917127071823204</v>
      </c>
      <c r="H38" s="24">
        <v>16</v>
      </c>
      <c r="I38" s="23">
        <f>14+7</f>
        <v>21</v>
      </c>
      <c r="J38" s="62">
        <f t="shared" ref="J38:J52" si="17">I38*100/$I$54</f>
        <v>7.8358208955223878</v>
      </c>
      <c r="K38" s="24">
        <v>14</v>
      </c>
      <c r="L38" s="62">
        <f t="shared" ref="L38:L52" si="18">(D38+G38+J38)/3</f>
        <v>12.346220751019958</v>
      </c>
      <c r="M38" s="64">
        <f t="shared" si="14"/>
        <v>15.333333333333334</v>
      </c>
      <c r="O38" s="28" t="s">
        <v>3</v>
      </c>
      <c r="P38" s="21"/>
      <c r="Q38" s="87">
        <f t="shared" ref="Q38:Q52" si="19">L16</f>
        <v>12.455968408475838</v>
      </c>
      <c r="R38" s="87">
        <f t="shared" ref="R38:R52" si="20">L38</f>
        <v>12.346220751019958</v>
      </c>
      <c r="S38" s="87">
        <f t="shared" ref="S38:S52" si="21">L60</f>
        <v>11.199428234355274</v>
      </c>
      <c r="T38" s="87">
        <f t="shared" ref="T38:T54" si="22">SUM((Q38+R38+S38)/3)</f>
        <v>12.00053913128369</v>
      </c>
      <c r="U38" s="87">
        <f t="shared" ref="U38:U52" si="23">M16</f>
        <v>16</v>
      </c>
      <c r="V38" s="24">
        <v>1</v>
      </c>
      <c r="W38" s="87">
        <f t="shared" ref="W38:W52" si="24">M38</f>
        <v>15.333333333333334</v>
      </c>
      <c r="X38" s="24">
        <v>1</v>
      </c>
      <c r="Y38" s="87">
        <f t="shared" ref="Y38:Y52" si="25">M60</f>
        <v>16</v>
      </c>
      <c r="Z38" s="24">
        <v>1</v>
      </c>
      <c r="AA38" s="90">
        <f t="shared" si="15"/>
        <v>15.777777777777779</v>
      </c>
    </row>
    <row r="39" spans="1:27" x14ac:dyDescent="0.25">
      <c r="A39" s="28" t="s">
        <v>7</v>
      </c>
      <c r="B39" s="21"/>
      <c r="C39" s="23">
        <v>7</v>
      </c>
      <c r="D39" s="62">
        <f t="shared" si="13"/>
        <v>4</v>
      </c>
      <c r="E39" s="63" t="s">
        <v>61</v>
      </c>
      <c r="F39" s="23">
        <v>4</v>
      </c>
      <c r="G39" s="62">
        <f t="shared" si="16"/>
        <v>2.2099447513812156</v>
      </c>
      <c r="H39" s="24">
        <v>3</v>
      </c>
      <c r="I39" s="23">
        <f>9+5</f>
        <v>14</v>
      </c>
      <c r="J39" s="62">
        <f t="shared" si="17"/>
        <v>5.2238805970149258</v>
      </c>
      <c r="K39" s="24">
        <v>6</v>
      </c>
      <c r="L39" s="62">
        <f t="shared" si="18"/>
        <v>3.8112751161320468</v>
      </c>
      <c r="M39" s="64">
        <f t="shared" si="14"/>
        <v>5</v>
      </c>
      <c r="O39" s="28" t="s">
        <v>7</v>
      </c>
      <c r="P39" s="21"/>
      <c r="Q39" s="87">
        <f t="shared" si="19"/>
        <v>4.1343836389709541</v>
      </c>
      <c r="R39" s="87">
        <f t="shared" si="20"/>
        <v>3.8112751161320468</v>
      </c>
      <c r="S39" s="87">
        <f t="shared" si="21"/>
        <v>4.569721427647619</v>
      </c>
      <c r="T39" s="87">
        <f t="shared" si="22"/>
        <v>4.1717933942502059</v>
      </c>
      <c r="U39" s="87">
        <f t="shared" si="23"/>
        <v>6</v>
      </c>
      <c r="V39" s="24">
        <v>11</v>
      </c>
      <c r="W39" s="87">
        <f t="shared" si="24"/>
        <v>5</v>
      </c>
      <c r="X39" s="24">
        <v>12</v>
      </c>
      <c r="Y39" s="87">
        <f t="shared" si="25"/>
        <v>5.333333333333333</v>
      </c>
      <c r="Z39" s="24">
        <v>11</v>
      </c>
      <c r="AA39" s="90">
        <f t="shared" si="15"/>
        <v>5.4444444444444438</v>
      </c>
    </row>
    <row r="40" spans="1:27" x14ac:dyDescent="0.25">
      <c r="A40" s="28" t="s">
        <v>9</v>
      </c>
      <c r="B40" s="21"/>
      <c r="C40" s="23">
        <v>11</v>
      </c>
      <c r="D40" s="62">
        <f t="shared" si="13"/>
        <v>6.2857142857142856</v>
      </c>
      <c r="E40" s="63" t="s">
        <v>72</v>
      </c>
      <c r="F40" s="23">
        <v>9</v>
      </c>
      <c r="G40" s="62">
        <f t="shared" si="16"/>
        <v>4.972375690607735</v>
      </c>
      <c r="H40" s="24">
        <v>8</v>
      </c>
      <c r="I40" s="23">
        <f>12+5</f>
        <v>17</v>
      </c>
      <c r="J40" s="62">
        <f t="shared" si="17"/>
        <v>6.3432835820895521</v>
      </c>
      <c r="K40" s="24">
        <v>9</v>
      </c>
      <c r="L40" s="62">
        <f t="shared" si="18"/>
        <v>5.8671245194705248</v>
      </c>
      <c r="M40" s="64">
        <f t="shared" si="14"/>
        <v>9</v>
      </c>
      <c r="O40" s="28" t="s">
        <v>9</v>
      </c>
      <c r="P40" s="21"/>
      <c r="Q40" s="87">
        <f t="shared" si="19"/>
        <v>7.8376162126368412</v>
      </c>
      <c r="R40" s="87">
        <f t="shared" si="20"/>
        <v>5.8671245194705248</v>
      </c>
      <c r="S40" s="87">
        <f t="shared" si="21"/>
        <v>5.6601287841046526</v>
      </c>
      <c r="T40" s="87">
        <f t="shared" si="22"/>
        <v>6.4549565054040059</v>
      </c>
      <c r="U40" s="87">
        <f t="shared" si="23"/>
        <v>11</v>
      </c>
      <c r="V40" s="24">
        <v>6</v>
      </c>
      <c r="W40" s="87">
        <f t="shared" si="24"/>
        <v>9</v>
      </c>
      <c r="X40" s="24">
        <v>7</v>
      </c>
      <c r="Y40" s="87">
        <f t="shared" si="25"/>
        <v>8</v>
      </c>
      <c r="Z40" s="24">
        <v>9</v>
      </c>
      <c r="AA40" s="90">
        <f t="shared" si="15"/>
        <v>9.3333333333333339</v>
      </c>
    </row>
    <row r="41" spans="1:27" x14ac:dyDescent="0.25">
      <c r="A41" s="28" t="s">
        <v>5</v>
      </c>
      <c r="B41" s="21"/>
      <c r="C41" s="23">
        <v>10</v>
      </c>
      <c r="D41" s="62">
        <f t="shared" si="13"/>
        <v>5.7142857142857144</v>
      </c>
      <c r="E41" s="63" t="s">
        <v>69</v>
      </c>
      <c r="F41" s="23">
        <v>11</v>
      </c>
      <c r="G41" s="62">
        <f t="shared" si="16"/>
        <v>6.0773480662983426</v>
      </c>
      <c r="H41" s="24">
        <v>9</v>
      </c>
      <c r="I41" s="23">
        <f>14+6</f>
        <v>20</v>
      </c>
      <c r="J41" s="62">
        <f t="shared" si="17"/>
        <v>7.4626865671641793</v>
      </c>
      <c r="K41" s="24">
        <v>12</v>
      </c>
      <c r="L41" s="62">
        <f t="shared" si="18"/>
        <v>6.418106782582746</v>
      </c>
      <c r="M41" s="64">
        <f t="shared" si="14"/>
        <v>10</v>
      </c>
      <c r="O41" s="28" t="s">
        <v>5</v>
      </c>
      <c r="P41" s="21"/>
      <c r="Q41" s="87">
        <f t="shared" si="19"/>
        <v>8.8697446238456639</v>
      </c>
      <c r="R41" s="87">
        <f t="shared" si="20"/>
        <v>6.418106782582746</v>
      </c>
      <c r="S41" s="87">
        <f t="shared" si="21"/>
        <v>6.7682791970257545</v>
      </c>
      <c r="T41" s="87">
        <f t="shared" si="22"/>
        <v>7.3520435344847215</v>
      </c>
      <c r="U41" s="87">
        <f t="shared" si="23"/>
        <v>13.333333333333334</v>
      </c>
      <c r="V41" s="24">
        <v>4</v>
      </c>
      <c r="W41" s="87">
        <f t="shared" si="24"/>
        <v>10</v>
      </c>
      <c r="X41" s="24">
        <v>5</v>
      </c>
      <c r="Y41" s="87">
        <f t="shared" si="25"/>
        <v>10</v>
      </c>
      <c r="Z41" s="24">
        <v>6</v>
      </c>
      <c r="AA41" s="90">
        <f t="shared" si="15"/>
        <v>11.111111111111112</v>
      </c>
    </row>
    <row r="42" spans="1:27" x14ac:dyDescent="0.25">
      <c r="A42" s="28" t="s">
        <v>1</v>
      </c>
      <c r="B42" s="21"/>
      <c r="C42" s="23">
        <v>16</v>
      </c>
      <c r="D42" s="62">
        <f t="shared" si="13"/>
        <v>9.1428571428571423</v>
      </c>
      <c r="E42" s="63" t="s">
        <v>64</v>
      </c>
      <c r="F42" s="23">
        <v>18</v>
      </c>
      <c r="G42" s="62">
        <f t="shared" si="16"/>
        <v>9.94475138121547</v>
      </c>
      <c r="H42" s="24">
        <v>13</v>
      </c>
      <c r="I42" s="23">
        <f>17+5</f>
        <v>22</v>
      </c>
      <c r="J42" s="62">
        <f t="shared" si="17"/>
        <v>8.2089552238805972</v>
      </c>
      <c r="K42" s="24">
        <v>15</v>
      </c>
      <c r="L42" s="62">
        <f t="shared" si="18"/>
        <v>9.0988545826510698</v>
      </c>
      <c r="M42" s="64">
        <f t="shared" si="14"/>
        <v>13.666666666666666</v>
      </c>
      <c r="O42" s="28" t="s">
        <v>1</v>
      </c>
      <c r="P42" s="21"/>
      <c r="Q42" s="87">
        <f t="shared" si="19"/>
        <v>8.1685105706670669</v>
      </c>
      <c r="R42" s="87">
        <f t="shared" si="20"/>
        <v>9.0988545826510698</v>
      </c>
      <c r="S42" s="87">
        <f t="shared" si="21"/>
        <v>8.6742224264156196</v>
      </c>
      <c r="T42" s="87">
        <f t="shared" si="22"/>
        <v>8.6471958599112515</v>
      </c>
      <c r="U42" s="87">
        <f t="shared" si="23"/>
        <v>12</v>
      </c>
      <c r="V42" s="24">
        <v>5</v>
      </c>
      <c r="W42" s="87">
        <f t="shared" si="24"/>
        <v>13.666666666666666</v>
      </c>
      <c r="X42" s="24">
        <v>4</v>
      </c>
      <c r="Y42" s="87">
        <f t="shared" si="25"/>
        <v>14.333333333333334</v>
      </c>
      <c r="Z42" s="24">
        <v>2</v>
      </c>
      <c r="AA42" s="90">
        <f t="shared" si="15"/>
        <v>13.333333333333334</v>
      </c>
    </row>
    <row r="43" spans="1:27" x14ac:dyDescent="0.25">
      <c r="A43" s="28" t="s">
        <v>114</v>
      </c>
      <c r="B43" s="21"/>
      <c r="C43" s="23">
        <v>7</v>
      </c>
      <c r="D43" s="62">
        <f t="shared" si="13"/>
        <v>4</v>
      </c>
      <c r="E43" s="63" t="s">
        <v>61</v>
      </c>
      <c r="F43" s="23">
        <v>7</v>
      </c>
      <c r="G43" s="62">
        <f t="shared" si="16"/>
        <v>3.867403314917127</v>
      </c>
      <c r="H43" s="24">
        <v>6</v>
      </c>
      <c r="I43" s="23">
        <f>12+2</f>
        <v>14</v>
      </c>
      <c r="J43" s="62">
        <f t="shared" si="17"/>
        <v>5.2238805970149258</v>
      </c>
      <c r="K43" s="24">
        <v>6</v>
      </c>
      <c r="L43" s="62">
        <f t="shared" si="18"/>
        <v>4.3637613039773511</v>
      </c>
      <c r="M43" s="64">
        <f t="shared" si="14"/>
        <v>6</v>
      </c>
      <c r="O43" s="28" t="s">
        <v>114</v>
      </c>
      <c r="P43" s="21"/>
      <c r="Q43" s="87">
        <f t="shared" si="19"/>
        <v>4.6939522596808345</v>
      </c>
      <c r="R43" s="87">
        <f t="shared" si="20"/>
        <v>4.3637613039773511</v>
      </c>
      <c r="S43" s="87">
        <f t="shared" si="21"/>
        <v>4.9418206995533964</v>
      </c>
      <c r="T43" s="87">
        <f t="shared" si="22"/>
        <v>4.6665114210705276</v>
      </c>
      <c r="U43" s="87">
        <f t="shared" si="23"/>
        <v>7.666666666666667</v>
      </c>
      <c r="V43" s="24">
        <v>9</v>
      </c>
      <c r="W43" s="87">
        <f t="shared" si="24"/>
        <v>6</v>
      </c>
      <c r="X43" s="24">
        <v>11</v>
      </c>
      <c r="Y43" s="87">
        <f t="shared" si="25"/>
        <v>6.333333333333333</v>
      </c>
      <c r="Z43" s="24">
        <v>10</v>
      </c>
      <c r="AA43" s="90">
        <f t="shared" si="15"/>
        <v>6.666666666666667</v>
      </c>
    </row>
    <row r="44" spans="1:27" x14ac:dyDescent="0.25">
      <c r="A44" s="28" t="s">
        <v>6</v>
      </c>
      <c r="B44" s="21"/>
      <c r="C44" s="23">
        <v>18</v>
      </c>
      <c r="D44" s="62">
        <f t="shared" si="13"/>
        <v>10.285714285714286</v>
      </c>
      <c r="E44" s="63" t="s">
        <v>66</v>
      </c>
      <c r="F44" s="23">
        <v>21</v>
      </c>
      <c r="G44" s="62">
        <f t="shared" si="16"/>
        <v>11.602209944751381</v>
      </c>
      <c r="H44" s="24">
        <v>15</v>
      </c>
      <c r="I44" s="23">
        <f>16+5</f>
        <v>21</v>
      </c>
      <c r="J44" s="62">
        <f t="shared" si="17"/>
        <v>7.8358208955223878</v>
      </c>
      <c r="K44" s="24">
        <v>14</v>
      </c>
      <c r="L44" s="62">
        <f t="shared" si="18"/>
        <v>9.9079150419960182</v>
      </c>
      <c r="M44" s="64">
        <f t="shared" si="14"/>
        <v>14.333333333333334</v>
      </c>
      <c r="O44" s="28" t="s">
        <v>6</v>
      </c>
      <c r="P44" s="21"/>
      <c r="Q44" s="87">
        <f t="shared" si="19"/>
        <v>10.695928015211082</v>
      </c>
      <c r="R44" s="87">
        <f t="shared" si="20"/>
        <v>9.9079150419960182</v>
      </c>
      <c r="S44" s="87">
        <f t="shared" si="21"/>
        <v>8.00911009817038</v>
      </c>
      <c r="T44" s="87">
        <f t="shared" si="22"/>
        <v>9.5376510517924942</v>
      </c>
      <c r="U44" s="87">
        <f t="shared" si="23"/>
        <v>14.666666666666666</v>
      </c>
      <c r="V44" s="24">
        <v>2</v>
      </c>
      <c r="W44" s="87">
        <f t="shared" si="24"/>
        <v>14.333333333333334</v>
      </c>
      <c r="X44" s="24">
        <v>3</v>
      </c>
      <c r="Y44" s="87">
        <f t="shared" si="25"/>
        <v>13.666666666666666</v>
      </c>
      <c r="Z44" s="24">
        <v>3</v>
      </c>
      <c r="AA44" s="90">
        <f t="shared" si="15"/>
        <v>14.222222222222221</v>
      </c>
    </row>
    <row r="45" spans="1:27" x14ac:dyDescent="0.25">
      <c r="A45" s="28" t="s">
        <v>103</v>
      </c>
      <c r="B45" s="21"/>
      <c r="C45" s="23">
        <v>7</v>
      </c>
      <c r="D45" s="62">
        <f t="shared" si="13"/>
        <v>4</v>
      </c>
      <c r="E45" s="63" t="s">
        <v>61</v>
      </c>
      <c r="F45" s="23">
        <v>5.5</v>
      </c>
      <c r="G45" s="62">
        <f t="shared" si="16"/>
        <v>3.0386740331491713</v>
      </c>
      <c r="H45" s="66">
        <v>1</v>
      </c>
      <c r="I45" s="23">
        <f>16+4</f>
        <v>20</v>
      </c>
      <c r="J45" s="62">
        <f t="shared" si="17"/>
        <v>7.4626865671641793</v>
      </c>
      <c r="K45" s="24">
        <v>12</v>
      </c>
      <c r="L45" s="62">
        <f t="shared" si="18"/>
        <v>4.833786866771117</v>
      </c>
      <c r="M45" s="64">
        <f t="shared" si="14"/>
        <v>6.333333333333333</v>
      </c>
      <c r="O45" s="28" t="s">
        <v>103</v>
      </c>
      <c r="P45" s="21"/>
      <c r="Q45" s="87">
        <f t="shared" si="19"/>
        <v>5.4268584287402613</v>
      </c>
      <c r="R45" s="87">
        <f t="shared" si="20"/>
        <v>4.833786866771117</v>
      </c>
      <c r="S45" s="87">
        <f t="shared" si="21"/>
        <v>5.5044961591904338</v>
      </c>
      <c r="T45" s="87">
        <f t="shared" si="22"/>
        <v>5.255047151567271</v>
      </c>
      <c r="U45" s="87">
        <f t="shared" si="23"/>
        <v>6.666666666666667</v>
      </c>
      <c r="V45" s="24">
        <v>10</v>
      </c>
      <c r="W45" s="87">
        <f t="shared" si="24"/>
        <v>6.333333333333333</v>
      </c>
      <c r="X45" s="24">
        <v>10</v>
      </c>
      <c r="Y45" s="87">
        <f t="shared" si="25"/>
        <v>5.333333333333333</v>
      </c>
      <c r="Z45" s="24">
        <v>11</v>
      </c>
      <c r="AA45" s="90">
        <f t="shared" si="15"/>
        <v>6.1111111111111107</v>
      </c>
    </row>
    <row r="46" spans="1:27" x14ac:dyDescent="0.25">
      <c r="A46" s="28" t="s">
        <v>133</v>
      </c>
      <c r="B46" s="21"/>
      <c r="C46" s="23">
        <v>11</v>
      </c>
      <c r="D46" s="62">
        <f t="shared" si="13"/>
        <v>6.2857142857142856</v>
      </c>
      <c r="E46" s="63" t="s">
        <v>72</v>
      </c>
      <c r="F46" s="23">
        <v>12</v>
      </c>
      <c r="G46" s="62">
        <f t="shared" si="16"/>
        <v>6.6298342541436464</v>
      </c>
      <c r="H46" s="79">
        <v>11</v>
      </c>
      <c r="I46" s="23">
        <f>13+4</f>
        <v>17</v>
      </c>
      <c r="J46" s="62">
        <f t="shared" si="17"/>
        <v>6.3432835820895521</v>
      </c>
      <c r="K46" s="24">
        <v>9</v>
      </c>
      <c r="L46" s="62">
        <f t="shared" si="18"/>
        <v>6.4196107073158286</v>
      </c>
      <c r="M46" s="64">
        <f t="shared" si="14"/>
        <v>10</v>
      </c>
      <c r="O46" s="28" t="s">
        <v>133</v>
      </c>
      <c r="P46" s="21"/>
      <c r="Q46" s="87">
        <f t="shared" si="19"/>
        <v>5.0287140472738612</v>
      </c>
      <c r="R46" s="87">
        <f t="shared" si="20"/>
        <v>6.4196107073158286</v>
      </c>
      <c r="S46" s="87">
        <f t="shared" si="21"/>
        <v>5.767953869186762</v>
      </c>
      <c r="T46" s="87">
        <f t="shared" si="22"/>
        <v>5.7387595412588182</v>
      </c>
      <c r="U46" s="87">
        <f t="shared" si="23"/>
        <v>8.6666666666666661</v>
      </c>
      <c r="V46" s="24">
        <v>8</v>
      </c>
      <c r="W46" s="87">
        <f t="shared" si="24"/>
        <v>10</v>
      </c>
      <c r="X46" s="24">
        <v>5</v>
      </c>
      <c r="Y46" s="87">
        <f t="shared" si="25"/>
        <v>8.3333333333333339</v>
      </c>
      <c r="Z46" s="24">
        <v>8</v>
      </c>
      <c r="AA46" s="90">
        <f t="shared" si="15"/>
        <v>9</v>
      </c>
    </row>
    <row r="47" spans="1:27" x14ac:dyDescent="0.25">
      <c r="A47" s="28" t="s">
        <v>8</v>
      </c>
      <c r="B47" s="21"/>
      <c r="C47" s="23">
        <v>21</v>
      </c>
      <c r="D47" s="62">
        <f t="shared" si="13"/>
        <v>12</v>
      </c>
      <c r="E47" s="118" t="s">
        <v>65</v>
      </c>
      <c r="F47" s="23">
        <v>19</v>
      </c>
      <c r="G47" s="62">
        <f t="shared" si="16"/>
        <v>10.497237569060774</v>
      </c>
      <c r="H47" s="79">
        <v>14</v>
      </c>
      <c r="I47" s="23">
        <f>19+4</f>
        <v>23</v>
      </c>
      <c r="J47" s="62">
        <f t="shared" si="17"/>
        <v>8.5820895522388057</v>
      </c>
      <c r="K47" s="24">
        <v>16</v>
      </c>
      <c r="L47" s="62">
        <f t="shared" si="18"/>
        <v>10.359775707099859</v>
      </c>
      <c r="M47" s="64">
        <f t="shared" si="14"/>
        <v>15</v>
      </c>
      <c r="O47" s="28" t="s">
        <v>8</v>
      </c>
      <c r="P47" s="21"/>
      <c r="Q47" s="87">
        <f t="shared" si="19"/>
        <v>9.8538789352065574</v>
      </c>
      <c r="R47" s="87">
        <f t="shared" si="20"/>
        <v>10.359775707099859</v>
      </c>
      <c r="S47" s="87">
        <f t="shared" si="21"/>
        <v>7.4291280823217045</v>
      </c>
      <c r="T47" s="87">
        <f t="shared" si="22"/>
        <v>9.2142609082093738</v>
      </c>
      <c r="U47" s="87">
        <f t="shared" si="23"/>
        <v>14</v>
      </c>
      <c r="V47" s="24">
        <v>3</v>
      </c>
      <c r="W47" s="87">
        <f t="shared" si="24"/>
        <v>15</v>
      </c>
      <c r="X47" s="24">
        <v>2</v>
      </c>
      <c r="Y47" s="87">
        <f t="shared" si="25"/>
        <v>11.666666666666666</v>
      </c>
      <c r="Z47" s="24">
        <v>5</v>
      </c>
      <c r="AA47" s="90">
        <f t="shared" si="15"/>
        <v>13.555555555555555</v>
      </c>
    </row>
    <row r="48" spans="1:27" x14ac:dyDescent="0.25">
      <c r="A48" s="28" t="s">
        <v>10</v>
      </c>
      <c r="B48" s="21"/>
      <c r="C48" s="23">
        <v>5</v>
      </c>
      <c r="D48" s="62">
        <f t="shared" si="13"/>
        <v>2.8571428571428572</v>
      </c>
      <c r="E48" s="118" t="s">
        <v>70</v>
      </c>
      <c r="F48" s="23">
        <v>5</v>
      </c>
      <c r="G48" s="62">
        <f t="shared" si="16"/>
        <v>2.7624309392265194</v>
      </c>
      <c r="H48" s="24">
        <v>4</v>
      </c>
      <c r="I48" s="23">
        <f>8+3</f>
        <v>11</v>
      </c>
      <c r="J48" s="62">
        <f t="shared" si="17"/>
        <v>4.1044776119402986</v>
      </c>
      <c r="K48" s="24">
        <v>2</v>
      </c>
      <c r="L48" s="62">
        <f t="shared" si="18"/>
        <v>3.2413504694365582</v>
      </c>
      <c r="M48" s="64">
        <f t="shared" si="14"/>
        <v>3</v>
      </c>
      <c r="O48" s="28" t="s">
        <v>10</v>
      </c>
      <c r="P48" s="21"/>
      <c r="Q48" s="87">
        <f t="shared" si="19"/>
        <v>2.9942838493331654</v>
      </c>
      <c r="R48" s="87">
        <f t="shared" si="20"/>
        <v>3.2413504694365582</v>
      </c>
      <c r="S48" s="87">
        <f t="shared" si="21"/>
        <v>4.3340335370106153</v>
      </c>
      <c r="T48" s="87">
        <f t="shared" si="22"/>
        <v>3.5232226185934459</v>
      </c>
      <c r="U48" s="87">
        <f t="shared" si="23"/>
        <v>3.3333333333333335</v>
      </c>
      <c r="V48" s="24">
        <v>13</v>
      </c>
      <c r="W48" s="87">
        <f t="shared" si="24"/>
        <v>3</v>
      </c>
      <c r="X48" s="24">
        <v>14</v>
      </c>
      <c r="Y48" s="87">
        <f t="shared" si="25"/>
        <v>4.333333333333333</v>
      </c>
      <c r="Z48" s="24">
        <v>14</v>
      </c>
      <c r="AA48" s="90">
        <f t="shared" si="15"/>
        <v>3.5555555555555558</v>
      </c>
    </row>
    <row r="49" spans="1:27" x14ac:dyDescent="0.25">
      <c r="A49" s="28" t="s">
        <v>11</v>
      </c>
      <c r="B49" s="21"/>
      <c r="C49" s="23">
        <v>7</v>
      </c>
      <c r="D49" s="62">
        <f t="shared" si="13"/>
        <v>4</v>
      </c>
      <c r="E49" s="65" t="s">
        <v>68</v>
      </c>
      <c r="F49" s="23">
        <v>8</v>
      </c>
      <c r="G49" s="62">
        <f t="shared" si="16"/>
        <v>4.4198895027624312</v>
      </c>
      <c r="H49" s="79">
        <v>7</v>
      </c>
      <c r="I49" s="75">
        <f>5+2</f>
        <v>7</v>
      </c>
      <c r="J49" s="62">
        <f t="shared" si="17"/>
        <v>2.6119402985074629</v>
      </c>
      <c r="K49" s="24">
        <v>1</v>
      </c>
      <c r="L49" s="62">
        <f t="shared" si="18"/>
        <v>3.6772766004232977</v>
      </c>
      <c r="M49" s="64">
        <f t="shared" si="14"/>
        <v>3</v>
      </c>
      <c r="O49" s="28" t="s">
        <v>11</v>
      </c>
      <c r="P49" s="21"/>
      <c r="Q49" s="87">
        <f t="shared" si="19"/>
        <v>3.5840306420925994</v>
      </c>
      <c r="R49" s="87">
        <f t="shared" si="20"/>
        <v>3.6772766004232977</v>
      </c>
      <c r="S49" s="87">
        <f t="shared" si="21"/>
        <v>5.2503702923960551</v>
      </c>
      <c r="T49" s="87">
        <f t="shared" si="22"/>
        <v>4.1705591783039848</v>
      </c>
      <c r="U49" s="87">
        <f t="shared" si="23"/>
        <v>2.6666666666666665</v>
      </c>
      <c r="V49" s="24">
        <v>15</v>
      </c>
      <c r="W49" s="87">
        <f t="shared" si="24"/>
        <v>3</v>
      </c>
      <c r="X49" s="24">
        <v>14</v>
      </c>
      <c r="Y49" s="87">
        <f t="shared" si="25"/>
        <v>5.333333333333333</v>
      </c>
      <c r="Z49" s="24">
        <v>11</v>
      </c>
      <c r="AA49" s="90">
        <f t="shared" si="15"/>
        <v>3.6666666666666665</v>
      </c>
    </row>
    <row r="50" spans="1:27" x14ac:dyDescent="0.25">
      <c r="A50" s="28" t="s">
        <v>134</v>
      </c>
      <c r="B50" s="21"/>
      <c r="C50" s="23">
        <v>6</v>
      </c>
      <c r="D50" s="62">
        <f t="shared" si="13"/>
        <v>3.4285714285714284</v>
      </c>
      <c r="E50" s="118" t="s">
        <v>63</v>
      </c>
      <c r="F50" s="23">
        <f>11/2</f>
        <v>5.5</v>
      </c>
      <c r="G50" s="62">
        <f t="shared" si="16"/>
        <v>3.0386740331491713</v>
      </c>
      <c r="H50" s="66">
        <v>1</v>
      </c>
      <c r="I50" s="75">
        <f>11+4</f>
        <v>15</v>
      </c>
      <c r="J50" s="62">
        <f t="shared" si="17"/>
        <v>5.5970149253731343</v>
      </c>
      <c r="K50" s="24">
        <v>7</v>
      </c>
      <c r="L50" s="62">
        <f t="shared" si="18"/>
        <v>4.0214201290312444</v>
      </c>
      <c r="M50" s="64">
        <f t="shared" si="14"/>
        <v>4.333333333333333</v>
      </c>
      <c r="O50" s="28" t="s">
        <v>134</v>
      </c>
      <c r="P50" s="21"/>
      <c r="Q50" s="87">
        <f t="shared" si="19"/>
        <v>3.7830055915290384</v>
      </c>
      <c r="R50" s="87">
        <f t="shared" si="20"/>
        <v>4.0214201290312444</v>
      </c>
      <c r="S50" s="87">
        <f t="shared" si="21"/>
        <v>3.7592592696368619</v>
      </c>
      <c r="T50" s="87">
        <f t="shared" si="22"/>
        <v>3.854561663399048</v>
      </c>
      <c r="U50" s="87">
        <f t="shared" si="23"/>
        <v>3</v>
      </c>
      <c r="V50" s="24">
        <v>14</v>
      </c>
      <c r="W50" s="87">
        <f t="shared" si="24"/>
        <v>4.333333333333333</v>
      </c>
      <c r="X50" s="24">
        <v>13</v>
      </c>
      <c r="Y50" s="87">
        <f t="shared" si="25"/>
        <v>1.6666666666666667</v>
      </c>
      <c r="Z50" s="24">
        <v>16</v>
      </c>
      <c r="AA50" s="90">
        <f t="shared" si="15"/>
        <v>3</v>
      </c>
    </row>
    <row r="51" spans="1:27" x14ac:dyDescent="0.25">
      <c r="A51" s="28" t="s">
        <v>4</v>
      </c>
      <c r="B51" s="21"/>
      <c r="C51" s="23">
        <v>12</v>
      </c>
      <c r="D51" s="62">
        <f t="shared" si="13"/>
        <v>6.8571428571428568</v>
      </c>
      <c r="E51" s="118" t="s">
        <v>59</v>
      </c>
      <c r="F51" s="23">
        <v>11</v>
      </c>
      <c r="G51" s="62">
        <f t="shared" si="16"/>
        <v>6.0773480662983426</v>
      </c>
      <c r="H51" s="79">
        <v>9</v>
      </c>
      <c r="I51" s="75">
        <f>10+4</f>
        <v>14</v>
      </c>
      <c r="J51" s="62">
        <f t="shared" si="17"/>
        <v>5.2238805970149258</v>
      </c>
      <c r="K51" s="24">
        <v>6</v>
      </c>
      <c r="L51" s="62">
        <f t="shared" si="18"/>
        <v>6.0527905068187087</v>
      </c>
      <c r="M51" s="64">
        <f t="shared" si="14"/>
        <v>9</v>
      </c>
      <c r="O51" s="28" t="s">
        <v>4</v>
      </c>
      <c r="P51" s="21"/>
      <c r="Q51" s="87">
        <f t="shared" si="19"/>
        <v>3.9266574498467244</v>
      </c>
      <c r="R51" s="87">
        <f t="shared" si="20"/>
        <v>6.0527905068187087</v>
      </c>
      <c r="S51" s="87">
        <f t="shared" si="21"/>
        <v>7.5660446110769897</v>
      </c>
      <c r="T51" s="87">
        <f t="shared" si="22"/>
        <v>5.8484975225808071</v>
      </c>
      <c r="U51" s="87">
        <f t="shared" si="23"/>
        <v>5.666666666666667</v>
      </c>
      <c r="V51" s="24">
        <v>12</v>
      </c>
      <c r="W51" s="87">
        <f t="shared" si="24"/>
        <v>9</v>
      </c>
      <c r="X51" s="24">
        <v>7</v>
      </c>
      <c r="Y51" s="87">
        <f t="shared" si="25"/>
        <v>12.666666666666666</v>
      </c>
      <c r="Z51" s="24">
        <v>4</v>
      </c>
      <c r="AA51" s="90">
        <f t="shared" si="15"/>
        <v>9.1111111111111125</v>
      </c>
    </row>
    <row r="52" spans="1:27" x14ac:dyDescent="0.25">
      <c r="A52" s="28" t="s">
        <v>135</v>
      </c>
      <c r="B52" s="21"/>
      <c r="C52" s="23">
        <v>7</v>
      </c>
      <c r="D52" s="62">
        <f t="shared" si="13"/>
        <v>4</v>
      </c>
      <c r="E52" s="65" t="s">
        <v>68</v>
      </c>
      <c r="F52" s="23">
        <v>6</v>
      </c>
      <c r="G52" s="62">
        <f t="shared" si="16"/>
        <v>3.3149171270718232</v>
      </c>
      <c r="H52" s="79">
        <v>5</v>
      </c>
      <c r="I52" s="23">
        <f>9+4</f>
        <v>13</v>
      </c>
      <c r="J52" s="62">
        <f t="shared" si="17"/>
        <v>4.8507462686567164</v>
      </c>
      <c r="K52" s="24">
        <v>3</v>
      </c>
      <c r="L52" s="62">
        <f t="shared" si="18"/>
        <v>4.0552211319095131</v>
      </c>
      <c r="M52" s="64">
        <f t="shared" si="14"/>
        <v>3</v>
      </c>
      <c r="O52" s="28" t="s">
        <v>135</v>
      </c>
      <c r="P52" s="21"/>
      <c r="Q52" s="87">
        <f t="shared" si="19"/>
        <v>3.1853436624176923</v>
      </c>
      <c r="R52" s="87">
        <f t="shared" si="20"/>
        <v>4.0552211319095131</v>
      </c>
      <c r="S52" s="87">
        <f t="shared" si="21"/>
        <v>3.9084003566880523</v>
      </c>
      <c r="T52" s="87">
        <f t="shared" si="22"/>
        <v>3.7163217170050857</v>
      </c>
      <c r="U52" s="87">
        <f t="shared" si="23"/>
        <v>1.6666666666666667</v>
      </c>
      <c r="V52" s="24">
        <v>16</v>
      </c>
      <c r="W52" s="87">
        <f t="shared" si="24"/>
        <v>3</v>
      </c>
      <c r="X52" s="24">
        <v>14</v>
      </c>
      <c r="Y52" s="87">
        <f t="shared" si="25"/>
        <v>2.3333333333333335</v>
      </c>
      <c r="Z52" s="24">
        <v>15</v>
      </c>
      <c r="AA52" s="90">
        <f t="shared" si="15"/>
        <v>2.3333333333333335</v>
      </c>
    </row>
    <row r="53" spans="1:27" x14ac:dyDescent="0.25">
      <c r="A53" s="61"/>
      <c r="B53" s="21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64"/>
      <c r="O53" s="89"/>
      <c r="P53" s="21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90"/>
    </row>
    <row r="54" spans="1:27" ht="15.75" thickBot="1" x14ac:dyDescent="0.3">
      <c r="A54" s="76" t="s">
        <v>14</v>
      </c>
      <c r="B54" s="27"/>
      <c r="C54" s="34">
        <f t="shared" ref="C54:M54" si="26">SUM(C37:C52)</f>
        <v>175</v>
      </c>
      <c r="D54" s="70">
        <f t="shared" si="26"/>
        <v>100</v>
      </c>
      <c r="E54" s="70"/>
      <c r="F54" s="34">
        <f t="shared" si="26"/>
        <v>181</v>
      </c>
      <c r="G54" s="70">
        <f t="shared" si="26"/>
        <v>100</v>
      </c>
      <c r="H54" s="70"/>
      <c r="I54" s="34">
        <f t="shared" si="26"/>
        <v>268</v>
      </c>
      <c r="J54" s="70">
        <f t="shared" si="26"/>
        <v>99.999999999999986</v>
      </c>
      <c r="K54" s="70"/>
      <c r="L54" s="70">
        <f t="shared" si="26"/>
        <v>100</v>
      </c>
      <c r="M54" s="71">
        <f t="shared" si="26"/>
        <v>135</v>
      </c>
      <c r="O54" s="91" t="s">
        <v>14</v>
      </c>
      <c r="P54" s="92"/>
      <c r="Q54" s="93">
        <v>100</v>
      </c>
      <c r="R54" s="93">
        <v>100.00000000000001</v>
      </c>
      <c r="S54" s="93">
        <v>100</v>
      </c>
      <c r="T54" s="93">
        <f t="shared" si="22"/>
        <v>100</v>
      </c>
      <c r="U54" s="93">
        <f>SUM(U37:U52)</f>
        <v>135.33333333333334</v>
      </c>
      <c r="V54" s="93"/>
      <c r="W54" s="93">
        <f>SUM(W37:W52)</f>
        <v>135</v>
      </c>
      <c r="X54" s="93"/>
      <c r="Y54" s="93">
        <f>SUM(Y37:Y52)</f>
        <v>135.33333333333334</v>
      </c>
      <c r="Z54" s="93"/>
      <c r="AA54" s="94">
        <f>SUM((U54+W54+Y54)/3)</f>
        <v>135.22222222222226</v>
      </c>
    </row>
    <row r="55" spans="1:27" ht="15.75" thickBot="1" x14ac:dyDescent="0.3">
      <c r="A55" s="17"/>
      <c r="B55" s="17"/>
      <c r="C55" s="17"/>
      <c r="D55" s="17"/>
      <c r="E55" s="17"/>
      <c r="F55" s="17"/>
      <c r="G55" s="21"/>
      <c r="H55" s="21"/>
      <c r="I55" s="17"/>
      <c r="J55" s="17"/>
      <c r="K55" s="17"/>
      <c r="L55" s="17"/>
      <c r="M55" s="21"/>
    </row>
    <row r="56" spans="1:27" x14ac:dyDescent="0.25">
      <c r="A56" s="53" t="s">
        <v>17</v>
      </c>
      <c r="B56" s="52"/>
      <c r="C56" s="45">
        <v>2011</v>
      </c>
      <c r="D56" s="52"/>
      <c r="E56" s="73" t="s">
        <v>48</v>
      </c>
      <c r="F56" s="45">
        <v>2012</v>
      </c>
      <c r="G56" s="52"/>
      <c r="H56" s="73" t="s">
        <v>48</v>
      </c>
      <c r="I56" s="45" t="s">
        <v>120</v>
      </c>
      <c r="J56" s="52"/>
      <c r="K56" s="73" t="s">
        <v>48</v>
      </c>
      <c r="L56" s="45" t="s">
        <v>51</v>
      </c>
      <c r="M56" s="74" t="s">
        <v>52</v>
      </c>
    </row>
    <row r="57" spans="1:27" x14ac:dyDescent="0.25">
      <c r="A57" s="43" t="s">
        <v>75</v>
      </c>
      <c r="B57" s="21"/>
      <c r="C57" s="36" t="s">
        <v>16</v>
      </c>
      <c r="D57" s="8" t="s">
        <v>24</v>
      </c>
      <c r="E57" s="54" t="s">
        <v>54</v>
      </c>
      <c r="F57" s="36" t="s">
        <v>16</v>
      </c>
      <c r="G57" s="8" t="s">
        <v>24</v>
      </c>
      <c r="H57" s="54" t="s">
        <v>54</v>
      </c>
      <c r="I57" s="36" t="s">
        <v>16</v>
      </c>
      <c r="J57" s="8" t="s">
        <v>24</v>
      </c>
      <c r="K57" s="54" t="s">
        <v>54</v>
      </c>
      <c r="L57" s="36" t="s">
        <v>56</v>
      </c>
      <c r="M57" s="58" t="s">
        <v>54</v>
      </c>
    </row>
    <row r="58" spans="1:27" x14ac:dyDescent="0.25">
      <c r="A58" s="43" t="s">
        <v>38</v>
      </c>
      <c r="B58" s="21"/>
      <c r="C58" s="36" t="s">
        <v>76</v>
      </c>
      <c r="D58" s="17"/>
      <c r="E58" s="17"/>
      <c r="F58" s="36" t="s">
        <v>76</v>
      </c>
      <c r="G58" s="21"/>
      <c r="H58" s="21"/>
      <c r="I58" s="36" t="s">
        <v>76</v>
      </c>
      <c r="J58" s="21"/>
      <c r="K58" s="21"/>
      <c r="L58" s="60" t="s">
        <v>36</v>
      </c>
      <c r="M58" s="37" t="s">
        <v>74</v>
      </c>
    </row>
    <row r="59" spans="1:27" x14ac:dyDescent="0.25">
      <c r="A59" s="28" t="s">
        <v>2</v>
      </c>
      <c r="B59" s="21"/>
      <c r="C59" s="24">
        <v>24192</v>
      </c>
      <c r="D59" s="62">
        <f t="shared" ref="D59:D74" si="27">C59*100/$C$76</f>
        <v>5.2336561821914636</v>
      </c>
      <c r="E59" s="24">
        <v>6</v>
      </c>
      <c r="F59" s="24">
        <v>24955</v>
      </c>
      <c r="G59" s="62">
        <f>F59*100/$F$76</f>
        <v>7.3208439432520915</v>
      </c>
      <c r="H59" s="24">
        <v>13</v>
      </c>
      <c r="I59" s="24">
        <v>17088</v>
      </c>
      <c r="J59" s="62">
        <f>I59*100/$I$76</f>
        <v>7.4183087402159336</v>
      </c>
      <c r="K59" s="24">
        <v>11</v>
      </c>
      <c r="L59" s="62">
        <f>(D59+G59+J59)/3</f>
        <v>6.6576029552198293</v>
      </c>
      <c r="M59" s="77">
        <f t="shared" ref="M59:M74" si="28">(E59+H59+K59)/3</f>
        <v>10</v>
      </c>
    </row>
    <row r="60" spans="1:27" x14ac:dyDescent="0.25">
      <c r="A60" s="28" t="s">
        <v>3</v>
      </c>
      <c r="B60" s="21"/>
      <c r="C60" s="24">
        <v>48976</v>
      </c>
      <c r="D60" s="62">
        <f t="shared" si="27"/>
        <v>10.595384638682587</v>
      </c>
      <c r="E60" s="24">
        <v>16</v>
      </c>
      <c r="F60" s="24">
        <v>39088</v>
      </c>
      <c r="G60" s="62">
        <f t="shared" ref="G60:G74" si="29">F60*100/$F$76</f>
        <v>11.466926389654889</v>
      </c>
      <c r="H60" s="24">
        <v>16</v>
      </c>
      <c r="I60" s="24">
        <v>26573</v>
      </c>
      <c r="J60" s="62">
        <f t="shared" ref="J60:J74" si="30">I60*100/$I$76</f>
        <v>11.535973674728346</v>
      </c>
      <c r="K60" s="24">
        <v>16</v>
      </c>
      <c r="L60" s="62">
        <f t="shared" ref="L60:L74" si="31">(D60+G60+J60)/3</f>
        <v>11.199428234355274</v>
      </c>
      <c r="M60" s="77">
        <f t="shared" si="28"/>
        <v>16</v>
      </c>
    </row>
    <row r="61" spans="1:27" x14ac:dyDescent="0.25">
      <c r="A61" s="28" t="s">
        <v>7</v>
      </c>
      <c r="B61" s="21"/>
      <c r="C61" s="24">
        <v>22312</v>
      </c>
      <c r="D61" s="62">
        <f t="shared" si="27"/>
        <v>4.8269401759695745</v>
      </c>
      <c r="E61" s="24">
        <v>5</v>
      </c>
      <c r="F61" s="24">
        <v>13875</v>
      </c>
      <c r="G61" s="62">
        <f t="shared" si="29"/>
        <v>4.070395099684343</v>
      </c>
      <c r="H61" s="24">
        <v>5</v>
      </c>
      <c r="I61" s="24">
        <v>11084</v>
      </c>
      <c r="J61" s="62">
        <f t="shared" si="30"/>
        <v>4.8118290072889396</v>
      </c>
      <c r="K61" s="24">
        <v>6</v>
      </c>
      <c r="L61" s="62">
        <f t="shared" si="31"/>
        <v>4.569721427647619</v>
      </c>
      <c r="M61" s="77">
        <f t="shared" si="28"/>
        <v>5.333333333333333</v>
      </c>
    </row>
    <row r="62" spans="1:27" x14ac:dyDescent="0.25">
      <c r="A62" s="28" t="s">
        <v>9</v>
      </c>
      <c r="B62" s="21"/>
      <c r="C62" s="24">
        <v>29084</v>
      </c>
      <c r="D62" s="62">
        <f t="shared" si="27"/>
        <v>6.2919831515731044</v>
      </c>
      <c r="E62" s="24">
        <v>9</v>
      </c>
      <c r="F62" s="24">
        <v>15582</v>
      </c>
      <c r="G62" s="62">
        <f t="shared" si="29"/>
        <v>4.5711637076238869</v>
      </c>
      <c r="H62" s="24">
        <v>6</v>
      </c>
      <c r="I62" s="24">
        <v>14091</v>
      </c>
      <c r="J62" s="62">
        <f t="shared" si="30"/>
        <v>6.1172394931169656</v>
      </c>
      <c r="K62" s="24">
        <v>9</v>
      </c>
      <c r="L62" s="62">
        <f t="shared" si="31"/>
        <v>5.6601287841046526</v>
      </c>
      <c r="M62" s="77">
        <f t="shared" si="28"/>
        <v>8</v>
      </c>
    </row>
    <row r="63" spans="1:27" x14ac:dyDescent="0.25">
      <c r="A63" s="28" t="s">
        <v>5</v>
      </c>
      <c r="B63" s="21"/>
      <c r="C63" s="24">
        <v>34477</v>
      </c>
      <c r="D63" s="62">
        <f t="shared" si="27"/>
        <v>7.4586956098468544</v>
      </c>
      <c r="E63" s="24">
        <v>11</v>
      </c>
      <c r="F63" s="24">
        <v>21706</v>
      </c>
      <c r="G63" s="62">
        <f t="shared" si="29"/>
        <v>6.3677114258557364</v>
      </c>
      <c r="H63" s="24">
        <v>9</v>
      </c>
      <c r="I63" s="24">
        <v>14923</v>
      </c>
      <c r="J63" s="62">
        <f t="shared" si="30"/>
        <v>6.4784305553746711</v>
      </c>
      <c r="K63" s="24">
        <v>10</v>
      </c>
      <c r="L63" s="62">
        <f t="shared" si="31"/>
        <v>6.7682791970257545</v>
      </c>
      <c r="M63" s="77">
        <f t="shared" si="28"/>
        <v>10</v>
      </c>
    </row>
    <row r="64" spans="1:27" x14ac:dyDescent="0.25">
      <c r="A64" s="28" t="s">
        <v>1</v>
      </c>
      <c r="B64" s="21"/>
      <c r="C64" s="24">
        <v>38202</v>
      </c>
      <c r="D64" s="62">
        <f t="shared" si="27"/>
        <v>8.2645557817492676</v>
      </c>
      <c r="E64" s="24">
        <v>13</v>
      </c>
      <c r="F64" s="24">
        <v>29408</v>
      </c>
      <c r="G64" s="62">
        <f t="shared" si="29"/>
        <v>8.6271840786679022</v>
      </c>
      <c r="H64" s="24">
        <v>15</v>
      </c>
      <c r="I64" s="24">
        <v>21033</v>
      </c>
      <c r="J64" s="62">
        <f t="shared" si="30"/>
        <v>9.1309274188296889</v>
      </c>
      <c r="K64" s="24">
        <v>15</v>
      </c>
      <c r="L64" s="62">
        <f t="shared" si="31"/>
        <v>8.6742224264156196</v>
      </c>
      <c r="M64" s="77">
        <f t="shared" si="28"/>
        <v>14.333333333333334</v>
      </c>
    </row>
    <row r="65" spans="1:13" x14ac:dyDescent="0.25">
      <c r="A65" s="28" t="s">
        <v>114</v>
      </c>
      <c r="B65" s="21"/>
      <c r="C65" s="24">
        <v>14930</v>
      </c>
      <c r="D65" s="62">
        <f t="shared" si="27"/>
        <v>3.2299308366451123</v>
      </c>
      <c r="E65" s="24">
        <v>4</v>
      </c>
      <c r="F65" s="24">
        <v>19531</v>
      </c>
      <c r="G65" s="62">
        <f t="shared" si="29"/>
        <v>5.7296494913106235</v>
      </c>
      <c r="H65" s="24">
        <v>7</v>
      </c>
      <c r="I65" s="24">
        <v>13512</v>
      </c>
      <c r="J65" s="62">
        <f t="shared" si="30"/>
        <v>5.865881770704453</v>
      </c>
      <c r="K65" s="24">
        <v>8</v>
      </c>
      <c r="L65" s="62">
        <f t="shared" si="31"/>
        <v>4.9418206995533964</v>
      </c>
      <c r="M65" s="77">
        <f t="shared" si="28"/>
        <v>6.333333333333333</v>
      </c>
    </row>
    <row r="66" spans="1:13" x14ac:dyDescent="0.25">
      <c r="A66" s="28" t="s">
        <v>6</v>
      </c>
      <c r="B66" s="21"/>
      <c r="C66" s="24">
        <v>40464</v>
      </c>
      <c r="D66" s="62">
        <f t="shared" si="27"/>
        <v>8.753913019022626</v>
      </c>
      <c r="E66" s="24">
        <v>15</v>
      </c>
      <c r="F66" s="24">
        <v>26606</v>
      </c>
      <c r="G66" s="62">
        <f t="shared" si="29"/>
        <v>7.8051842898884054</v>
      </c>
      <c r="H66" s="24">
        <v>14</v>
      </c>
      <c r="I66" s="24">
        <v>17203</v>
      </c>
      <c r="J66" s="62">
        <f t="shared" si="30"/>
        <v>7.4682329856001113</v>
      </c>
      <c r="K66" s="24">
        <v>12</v>
      </c>
      <c r="L66" s="62">
        <f t="shared" si="31"/>
        <v>8.00911009817038</v>
      </c>
      <c r="M66" s="77">
        <f t="shared" si="28"/>
        <v>13.666666666666666</v>
      </c>
    </row>
    <row r="67" spans="1:13" x14ac:dyDescent="0.25">
      <c r="A67" s="28" t="s">
        <v>103</v>
      </c>
      <c r="B67" s="21"/>
      <c r="C67" s="24">
        <v>30013</v>
      </c>
      <c r="D67" s="62">
        <f t="shared" si="27"/>
        <v>6.4929614333710486</v>
      </c>
      <c r="E67" s="24">
        <v>10</v>
      </c>
      <c r="F67" s="24">
        <v>19787</v>
      </c>
      <c r="G67" s="62">
        <f t="shared" si="29"/>
        <v>5.8047501144111058</v>
      </c>
      <c r="H67" s="66">
        <v>1</v>
      </c>
      <c r="I67" s="24">
        <v>9711</v>
      </c>
      <c r="J67" s="62">
        <f t="shared" si="30"/>
        <v>4.2157769297891461</v>
      </c>
      <c r="K67" s="24">
        <v>5</v>
      </c>
      <c r="L67" s="62">
        <f t="shared" si="31"/>
        <v>5.5044961591904338</v>
      </c>
      <c r="M67" s="77">
        <f t="shared" si="28"/>
        <v>5.333333333333333</v>
      </c>
    </row>
    <row r="68" spans="1:13" x14ac:dyDescent="0.25">
      <c r="A68" s="28" t="s">
        <v>133</v>
      </c>
      <c r="B68" s="21"/>
      <c r="C68" s="24">
        <v>25532</v>
      </c>
      <c r="D68" s="62">
        <f t="shared" si="27"/>
        <v>5.5235495057751507</v>
      </c>
      <c r="E68" s="24">
        <v>8</v>
      </c>
      <c r="F68" s="24">
        <v>22462</v>
      </c>
      <c r="G68" s="62">
        <f t="shared" si="29"/>
        <v>6.5894929534493478</v>
      </c>
      <c r="H68" s="79">
        <v>10</v>
      </c>
      <c r="I68" s="24">
        <v>11957</v>
      </c>
      <c r="J68" s="62">
        <f t="shared" si="30"/>
        <v>5.1908191483357857</v>
      </c>
      <c r="K68" s="24">
        <v>7</v>
      </c>
      <c r="L68" s="62">
        <f t="shared" si="31"/>
        <v>5.767953869186762</v>
      </c>
      <c r="M68" s="77">
        <f t="shared" si="28"/>
        <v>8.3333333333333339</v>
      </c>
    </row>
    <row r="69" spans="1:13" x14ac:dyDescent="0.25">
      <c r="A69" s="28" t="s">
        <v>8</v>
      </c>
      <c r="B69" s="21"/>
      <c r="C69" s="24">
        <v>38812</v>
      </c>
      <c r="D69" s="62">
        <f t="shared" si="27"/>
        <v>8.3965221454702004</v>
      </c>
      <c r="E69" s="79">
        <v>14</v>
      </c>
      <c r="F69" s="24">
        <v>20221</v>
      </c>
      <c r="G69" s="62">
        <f t="shared" si="29"/>
        <v>5.9320691395111416</v>
      </c>
      <c r="H69" s="24">
        <v>8</v>
      </c>
      <c r="I69" s="24">
        <v>18333</v>
      </c>
      <c r="J69" s="62">
        <f t="shared" si="30"/>
        <v>7.9587929619837725</v>
      </c>
      <c r="K69" s="24">
        <v>13</v>
      </c>
      <c r="L69" s="62">
        <f t="shared" si="31"/>
        <v>7.4291280823217045</v>
      </c>
      <c r="M69" s="77">
        <f t="shared" si="28"/>
        <v>11.666666666666666</v>
      </c>
    </row>
    <row r="70" spans="1:13" x14ac:dyDescent="0.25">
      <c r="A70" s="28" t="s">
        <v>10</v>
      </c>
      <c r="B70" s="21"/>
      <c r="C70" s="24">
        <v>25078</v>
      </c>
      <c r="D70" s="62">
        <f t="shared" si="27"/>
        <v>5.4253319170385881</v>
      </c>
      <c r="E70" s="79">
        <v>7</v>
      </c>
      <c r="F70" s="24">
        <v>12250</v>
      </c>
      <c r="G70" s="62">
        <f t="shared" si="29"/>
        <v>3.5936821600816717</v>
      </c>
      <c r="H70" s="24">
        <v>4</v>
      </c>
      <c r="I70" s="24">
        <v>9175</v>
      </c>
      <c r="J70" s="62">
        <f t="shared" si="30"/>
        <v>3.9830865339115862</v>
      </c>
      <c r="K70" s="24">
        <v>2</v>
      </c>
      <c r="L70" s="62">
        <f t="shared" si="31"/>
        <v>4.3340335370106153</v>
      </c>
      <c r="M70" s="77">
        <f t="shared" si="28"/>
        <v>4.333333333333333</v>
      </c>
    </row>
    <row r="71" spans="1:13" x14ac:dyDescent="0.25">
      <c r="A71" s="28" t="s">
        <v>11</v>
      </c>
      <c r="B71" s="21"/>
      <c r="C71" s="24">
        <v>22405</v>
      </c>
      <c r="D71" s="62">
        <f t="shared" si="27"/>
        <v>4.8470596379794868</v>
      </c>
      <c r="E71" s="66">
        <v>1</v>
      </c>
      <c r="F71" s="24">
        <v>22815</v>
      </c>
      <c r="G71" s="62">
        <f t="shared" si="29"/>
        <v>6.6930496720214974</v>
      </c>
      <c r="H71" s="79">
        <v>11</v>
      </c>
      <c r="I71" s="24">
        <v>9700</v>
      </c>
      <c r="J71" s="62">
        <f t="shared" si="30"/>
        <v>4.2110015671871812</v>
      </c>
      <c r="K71" s="79">
        <v>4</v>
      </c>
      <c r="L71" s="62">
        <f t="shared" si="31"/>
        <v>5.2503702923960551</v>
      </c>
      <c r="M71" s="77">
        <f t="shared" si="28"/>
        <v>5.333333333333333</v>
      </c>
    </row>
    <row r="72" spans="1:13" x14ac:dyDescent="0.25">
      <c r="A72" s="28" t="s">
        <v>134</v>
      </c>
      <c r="B72" s="21"/>
      <c r="C72" s="24">
        <v>9560</v>
      </c>
      <c r="D72" s="62">
        <f t="shared" si="27"/>
        <v>2.0681941592985447</v>
      </c>
      <c r="E72" s="79">
        <v>3</v>
      </c>
      <c r="F72" s="24">
        <v>19787</v>
      </c>
      <c r="G72" s="62">
        <f t="shared" si="29"/>
        <v>5.8047501144111058</v>
      </c>
      <c r="H72" s="66">
        <v>1</v>
      </c>
      <c r="I72" s="24">
        <v>7843</v>
      </c>
      <c r="J72" s="62">
        <f t="shared" si="30"/>
        <v>3.4048335352009342</v>
      </c>
      <c r="K72" s="24">
        <v>1</v>
      </c>
      <c r="L72" s="62">
        <f t="shared" si="31"/>
        <v>3.7592592696368619</v>
      </c>
      <c r="M72" s="77">
        <f t="shared" si="28"/>
        <v>1.6666666666666667</v>
      </c>
    </row>
    <row r="73" spans="1:13" x14ac:dyDescent="0.25">
      <c r="A73" s="28" t="s">
        <v>4</v>
      </c>
      <c r="B73" s="21"/>
      <c r="C73" s="24">
        <v>35797</v>
      </c>
      <c r="D73" s="62">
        <f t="shared" si="27"/>
        <v>7.7442621674069043</v>
      </c>
      <c r="E73" s="79">
        <v>12</v>
      </c>
      <c r="F73" s="24">
        <v>23041</v>
      </c>
      <c r="G73" s="62">
        <f t="shared" si="29"/>
        <v>6.7593494408523922</v>
      </c>
      <c r="H73" s="79">
        <v>12</v>
      </c>
      <c r="I73" s="24">
        <v>18876</v>
      </c>
      <c r="J73" s="62">
        <f t="shared" si="30"/>
        <v>8.1945222249716743</v>
      </c>
      <c r="K73" s="24">
        <v>14</v>
      </c>
      <c r="L73" s="62">
        <f t="shared" si="31"/>
        <v>7.5660446110769897</v>
      </c>
      <c r="M73" s="77">
        <f t="shared" si="28"/>
        <v>12.666666666666666</v>
      </c>
    </row>
    <row r="74" spans="1:13" x14ac:dyDescent="0.25">
      <c r="A74" s="28" t="s">
        <v>135</v>
      </c>
      <c r="B74" s="21"/>
      <c r="C74" s="24">
        <v>22405</v>
      </c>
      <c r="D74" s="62">
        <f t="shared" si="27"/>
        <v>4.8470596379794868</v>
      </c>
      <c r="E74" s="66">
        <v>1</v>
      </c>
      <c r="F74" s="24">
        <v>9762</v>
      </c>
      <c r="G74" s="62">
        <f t="shared" si="29"/>
        <v>2.8637979793238597</v>
      </c>
      <c r="H74" s="24">
        <v>3</v>
      </c>
      <c r="I74" s="24">
        <v>9247</v>
      </c>
      <c r="J74" s="62">
        <f t="shared" si="30"/>
        <v>4.0143434527608104</v>
      </c>
      <c r="K74" s="24">
        <v>3</v>
      </c>
      <c r="L74" s="62">
        <f t="shared" si="31"/>
        <v>3.9084003566880523</v>
      </c>
      <c r="M74" s="77">
        <f t="shared" si="28"/>
        <v>2.3333333333333335</v>
      </c>
    </row>
    <row r="75" spans="1:13" x14ac:dyDescent="0.25">
      <c r="A75" s="20"/>
      <c r="B75" s="21"/>
      <c r="C75" s="24"/>
      <c r="D75" s="62"/>
      <c r="E75" s="62"/>
      <c r="F75" s="24"/>
      <c r="G75" s="24"/>
      <c r="H75" s="24"/>
      <c r="I75" s="24"/>
      <c r="J75" s="24"/>
      <c r="K75" s="24"/>
      <c r="L75" s="24"/>
      <c r="M75" s="77"/>
    </row>
    <row r="76" spans="1:13" ht="15.75" thickBot="1" x14ac:dyDescent="0.3">
      <c r="A76" s="25" t="s">
        <v>14</v>
      </c>
      <c r="B76" s="27"/>
      <c r="C76" s="26">
        <f>SUM(C59:C74)</f>
        <v>462239</v>
      </c>
      <c r="D76" s="70">
        <f>SUM(D59:D74)</f>
        <v>99.999999999999986</v>
      </c>
      <c r="E76" s="70"/>
      <c r="F76" s="26">
        <f>SUM(F59:F74)</f>
        <v>340876</v>
      </c>
      <c r="G76" s="70">
        <f>SUM(G59:G74)</f>
        <v>100.00000000000001</v>
      </c>
      <c r="H76" s="70"/>
      <c r="I76" s="26">
        <f t="shared" ref="I76:M76" si="32">SUM(I59:I74)</f>
        <v>230349</v>
      </c>
      <c r="J76" s="70">
        <f t="shared" si="32"/>
        <v>100.00000000000001</v>
      </c>
      <c r="K76" s="70"/>
      <c r="L76" s="70">
        <f t="shared" si="32"/>
        <v>99.999999999999986</v>
      </c>
      <c r="M76" s="78">
        <f t="shared" si="32"/>
        <v>135.33333333333334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>
      <selection activeCell="D9" sqref="D9"/>
    </sheetView>
  </sheetViews>
  <sheetFormatPr baseColWidth="10" defaultRowHeight="15" x14ac:dyDescent="0.25"/>
  <cols>
    <col min="1" max="1" width="18.42578125" customWidth="1"/>
    <col min="2" max="2" width="13.42578125" customWidth="1"/>
  </cols>
  <sheetData>
    <row r="1" spans="1:5" ht="18.75" x14ac:dyDescent="0.3">
      <c r="A1" s="3" t="s">
        <v>25</v>
      </c>
      <c r="C1" s="9">
        <f>'FM -  2013'!B11</f>
        <v>24690500</v>
      </c>
      <c r="D1" s="9"/>
    </row>
    <row r="2" spans="1:5" x14ac:dyDescent="0.25">
      <c r="A2" s="1" t="s">
        <v>138</v>
      </c>
    </row>
    <row r="3" spans="1:5" x14ac:dyDescent="0.25">
      <c r="C3" s="8" t="s">
        <v>28</v>
      </c>
      <c r="D3" s="8" t="s">
        <v>29</v>
      </c>
    </row>
    <row r="4" spans="1:5" x14ac:dyDescent="0.25">
      <c r="A4" s="1" t="s">
        <v>26</v>
      </c>
      <c r="B4" s="9">
        <f>SUM(C1*0.81)</f>
        <v>19999305</v>
      </c>
      <c r="C4" s="9">
        <f>B4</f>
        <v>19999305</v>
      </c>
      <c r="D4" s="8">
        <v>0</v>
      </c>
    </row>
    <row r="5" spans="1:5" x14ac:dyDescent="0.25">
      <c r="A5" s="1" t="s">
        <v>27</v>
      </c>
      <c r="B5" s="9">
        <f>SUM(C1*0.19)</f>
        <v>4691195</v>
      </c>
      <c r="C5" s="9">
        <f>B5</f>
        <v>4691195</v>
      </c>
      <c r="D5" s="9">
        <v>0</v>
      </c>
    </row>
    <row r="6" spans="1:5" ht="15.75" thickBot="1" x14ac:dyDescent="0.3"/>
    <row r="7" spans="1:5" x14ac:dyDescent="0.25">
      <c r="A7" s="48" t="s">
        <v>17</v>
      </c>
      <c r="B7" s="45" t="s">
        <v>28</v>
      </c>
      <c r="C7" s="45" t="s">
        <v>24</v>
      </c>
      <c r="D7" s="35" t="s">
        <v>31</v>
      </c>
      <c r="E7" s="19"/>
    </row>
    <row r="8" spans="1:5" x14ac:dyDescent="0.25">
      <c r="A8" s="50" t="s">
        <v>0</v>
      </c>
      <c r="B8" s="38" t="s">
        <v>30</v>
      </c>
      <c r="C8" s="38"/>
      <c r="D8" s="38" t="s">
        <v>32</v>
      </c>
      <c r="E8" s="22"/>
    </row>
    <row r="9" spans="1:5" x14ac:dyDescent="0.25">
      <c r="A9" s="28" t="s">
        <v>2</v>
      </c>
      <c r="B9" s="120">
        <v>4.5999999999999996</v>
      </c>
      <c r="C9" s="7">
        <f>B9*100/$B$26</f>
        <v>5.9802392095683805</v>
      </c>
      <c r="D9" s="24">
        <f>SUM($B$4*C9/100)</f>
        <v>1196006.2792511696</v>
      </c>
      <c r="E9" s="22"/>
    </row>
    <row r="10" spans="1:5" x14ac:dyDescent="0.25">
      <c r="A10" s="28" t="s">
        <v>3</v>
      </c>
      <c r="B10" s="120">
        <v>4.9000000000000004</v>
      </c>
      <c r="C10" s="7">
        <f t="shared" ref="C10:C24" si="0">B10*100/$B$26</f>
        <v>6.3702548101924075</v>
      </c>
      <c r="D10" s="24">
        <f t="shared" ref="D10:D24" si="1">SUM($B$4*C10/100)</f>
        <v>1274006.6887675505</v>
      </c>
      <c r="E10" s="22"/>
    </row>
    <row r="11" spans="1:5" x14ac:dyDescent="0.25">
      <c r="A11" s="28" t="s">
        <v>7</v>
      </c>
      <c r="B11" s="120">
        <v>3.6</v>
      </c>
      <c r="C11" s="7">
        <f t="shared" si="0"/>
        <v>4.6801872074882986</v>
      </c>
      <c r="D11" s="24">
        <f t="shared" si="1"/>
        <v>936004.91419656773</v>
      </c>
      <c r="E11" s="22"/>
    </row>
    <row r="12" spans="1:5" x14ac:dyDescent="0.25">
      <c r="A12" s="28" t="s">
        <v>9</v>
      </c>
      <c r="B12" s="120">
        <v>5.2</v>
      </c>
      <c r="C12" s="7">
        <f t="shared" si="0"/>
        <v>6.7602704108164309</v>
      </c>
      <c r="D12" s="24">
        <f t="shared" si="1"/>
        <v>1352007.0982839309</v>
      </c>
      <c r="E12" s="22"/>
    </row>
    <row r="13" spans="1:5" x14ac:dyDescent="0.25">
      <c r="A13" s="28" t="s">
        <v>5</v>
      </c>
      <c r="B13" s="120">
        <v>5.2</v>
      </c>
      <c r="C13" s="7">
        <f t="shared" si="0"/>
        <v>6.7602704108164309</v>
      </c>
      <c r="D13" s="24">
        <f t="shared" si="1"/>
        <v>1352007.0982839309</v>
      </c>
      <c r="E13" s="22"/>
    </row>
    <row r="14" spans="1:5" x14ac:dyDescent="0.25">
      <c r="A14" s="28" t="s">
        <v>1</v>
      </c>
      <c r="B14" s="120">
        <v>5.2</v>
      </c>
      <c r="C14" s="7">
        <f t="shared" si="0"/>
        <v>6.7602704108164309</v>
      </c>
      <c r="D14" s="24">
        <f t="shared" si="1"/>
        <v>1352007.0982839309</v>
      </c>
      <c r="E14" s="22"/>
    </row>
    <row r="15" spans="1:5" x14ac:dyDescent="0.25">
      <c r="A15" s="28" t="s">
        <v>114</v>
      </c>
      <c r="B15" s="120">
        <v>5.2</v>
      </c>
      <c r="C15" s="7">
        <f t="shared" si="0"/>
        <v>6.7602704108164309</v>
      </c>
      <c r="D15" s="24">
        <f t="shared" si="1"/>
        <v>1352007.0982839309</v>
      </c>
      <c r="E15" s="22"/>
    </row>
    <row r="16" spans="1:5" x14ac:dyDescent="0.25">
      <c r="A16" s="28" t="s">
        <v>6</v>
      </c>
      <c r="B16" s="120">
        <v>5.2</v>
      </c>
      <c r="C16" s="7">
        <f t="shared" si="0"/>
        <v>6.7602704108164309</v>
      </c>
      <c r="D16" s="24">
        <f t="shared" si="1"/>
        <v>1352007.0982839309</v>
      </c>
      <c r="E16" s="22"/>
    </row>
    <row r="17" spans="1:5" x14ac:dyDescent="0.25">
      <c r="A17" s="28" t="s">
        <v>103</v>
      </c>
      <c r="B17" s="120">
        <v>4.2699999999999996</v>
      </c>
      <c r="C17" s="7">
        <f t="shared" si="0"/>
        <v>5.5512220488819537</v>
      </c>
      <c r="D17" s="24">
        <f t="shared" si="1"/>
        <v>1110205.828783151</v>
      </c>
      <c r="E17" s="22"/>
    </row>
    <row r="18" spans="1:5" x14ac:dyDescent="0.25">
      <c r="A18" s="28" t="s">
        <v>133</v>
      </c>
      <c r="B18" s="120">
        <v>5.2</v>
      </c>
      <c r="C18" s="7">
        <f t="shared" si="0"/>
        <v>6.7602704108164309</v>
      </c>
      <c r="D18" s="24">
        <f t="shared" si="1"/>
        <v>1352007.0982839309</v>
      </c>
      <c r="E18" s="22"/>
    </row>
    <row r="19" spans="1:5" x14ac:dyDescent="0.25">
      <c r="A19" s="28" t="s">
        <v>8</v>
      </c>
      <c r="B19" s="120">
        <v>5.2</v>
      </c>
      <c r="C19" s="7">
        <f t="shared" si="0"/>
        <v>6.7602704108164309</v>
      </c>
      <c r="D19" s="24">
        <f t="shared" si="1"/>
        <v>1352007.0982839309</v>
      </c>
      <c r="E19" s="22"/>
    </row>
    <row r="20" spans="1:5" x14ac:dyDescent="0.25">
      <c r="A20" s="28" t="s">
        <v>10</v>
      </c>
      <c r="B20" s="120">
        <v>5</v>
      </c>
      <c r="C20" s="7">
        <f t="shared" si="0"/>
        <v>6.5002600104004147</v>
      </c>
      <c r="D20" s="24">
        <f t="shared" si="1"/>
        <v>1300006.8252730106</v>
      </c>
      <c r="E20" s="22"/>
    </row>
    <row r="21" spans="1:5" x14ac:dyDescent="0.25">
      <c r="A21" s="28" t="s">
        <v>11</v>
      </c>
      <c r="B21" s="120">
        <v>4.5999999999999996</v>
      </c>
      <c r="C21" s="7">
        <f t="shared" si="0"/>
        <v>5.9802392095683805</v>
      </c>
      <c r="D21" s="24">
        <f t="shared" si="1"/>
        <v>1196006.2792511696</v>
      </c>
      <c r="E21" s="22"/>
    </row>
    <row r="22" spans="1:5" x14ac:dyDescent="0.25">
      <c r="A22" s="28" t="s">
        <v>134</v>
      </c>
      <c r="B22" s="120">
        <v>3.35</v>
      </c>
      <c r="C22" s="7">
        <f t="shared" si="0"/>
        <v>4.355174206968278</v>
      </c>
      <c r="D22" s="24">
        <f t="shared" si="1"/>
        <v>871004.57293291716</v>
      </c>
      <c r="E22" s="22"/>
    </row>
    <row r="23" spans="1:5" x14ac:dyDescent="0.25">
      <c r="A23" s="28" t="s">
        <v>4</v>
      </c>
      <c r="B23" s="120">
        <v>5.2</v>
      </c>
      <c r="C23" s="7">
        <f t="shared" si="0"/>
        <v>6.7602704108164309</v>
      </c>
      <c r="D23" s="24">
        <f t="shared" si="1"/>
        <v>1352007.0982839309</v>
      </c>
      <c r="E23" s="22"/>
    </row>
    <row r="24" spans="1:5" x14ac:dyDescent="0.25">
      <c r="A24" s="28" t="s">
        <v>135</v>
      </c>
      <c r="B24" s="120">
        <v>5</v>
      </c>
      <c r="C24" s="7">
        <f t="shared" si="0"/>
        <v>6.5002600104004147</v>
      </c>
      <c r="D24" s="24">
        <f t="shared" si="1"/>
        <v>1300006.8252730106</v>
      </c>
      <c r="E24" s="22"/>
    </row>
    <row r="25" spans="1:5" x14ac:dyDescent="0.25">
      <c r="A25" s="28"/>
      <c r="B25" s="120"/>
      <c r="C25" s="7"/>
      <c r="D25" s="21"/>
      <c r="E25" s="22"/>
    </row>
    <row r="26" spans="1:5" x14ac:dyDescent="0.25">
      <c r="A26" s="41" t="s">
        <v>14</v>
      </c>
      <c r="B26" s="139">
        <f>SUM(B9:B24)</f>
        <v>76.920000000000016</v>
      </c>
      <c r="C26" s="5">
        <f t="shared" ref="C26:D26" si="2">SUM(C9:C24)</f>
        <v>99.999999999999957</v>
      </c>
      <c r="D26" s="42">
        <f t="shared" si="2"/>
        <v>19999304.999999996</v>
      </c>
      <c r="E26" s="4"/>
    </row>
    <row r="27" spans="1:5" x14ac:dyDescent="0.25">
      <c r="A27" s="20"/>
      <c r="B27" s="122"/>
      <c r="C27" s="123"/>
      <c r="D27" s="124"/>
      <c r="E27" s="22"/>
    </row>
    <row r="28" spans="1:5" x14ac:dyDescent="0.25">
      <c r="A28" s="50" t="s">
        <v>15</v>
      </c>
      <c r="B28" s="36" t="s">
        <v>28</v>
      </c>
      <c r="C28" s="36" t="s">
        <v>24</v>
      </c>
      <c r="D28" s="38" t="s">
        <v>31</v>
      </c>
      <c r="E28" s="37"/>
    </row>
    <row r="29" spans="1:5" x14ac:dyDescent="0.25">
      <c r="A29" s="28"/>
      <c r="B29" s="38" t="s">
        <v>30</v>
      </c>
      <c r="C29" s="38"/>
      <c r="D29" s="38" t="s">
        <v>32</v>
      </c>
      <c r="E29" s="37"/>
    </row>
    <row r="30" spans="1:5" x14ac:dyDescent="0.25">
      <c r="A30" s="28" t="s">
        <v>104</v>
      </c>
      <c r="B30" s="120">
        <v>3.2</v>
      </c>
      <c r="C30" s="7">
        <f>B30*100/$B$47</f>
        <v>9.682299546142211</v>
      </c>
      <c r="D30" s="24">
        <f>$C$5*C30/100</f>
        <v>454215.55219364609</v>
      </c>
      <c r="E30" s="29"/>
    </row>
    <row r="31" spans="1:5" x14ac:dyDescent="0.25">
      <c r="A31" s="28" t="s">
        <v>13</v>
      </c>
      <c r="B31" s="120">
        <v>3.2</v>
      </c>
      <c r="C31" s="7">
        <f>B31*100/$B$47</f>
        <v>9.682299546142211</v>
      </c>
      <c r="D31" s="24">
        <f t="shared" ref="D31:D45" si="3">$C$5*C31/100</f>
        <v>454215.55219364609</v>
      </c>
      <c r="E31" s="29"/>
    </row>
    <row r="32" spans="1:5" x14ac:dyDescent="0.25">
      <c r="A32" s="28" t="s">
        <v>107</v>
      </c>
      <c r="B32" s="120">
        <v>1.87</v>
      </c>
      <c r="C32" s="7">
        <f t="shared" ref="C32:C45" si="4">B32*100/$B$47</f>
        <v>5.6580937972768552</v>
      </c>
      <c r="D32" s="24">
        <f t="shared" si="3"/>
        <v>265432.21331316198</v>
      </c>
      <c r="E32" s="29"/>
    </row>
    <row r="33" spans="1:5" x14ac:dyDescent="0.25">
      <c r="A33" s="28" t="s">
        <v>115</v>
      </c>
      <c r="B33" s="120">
        <v>1.6</v>
      </c>
      <c r="C33" s="7">
        <f t="shared" si="4"/>
        <v>4.8411497730711055</v>
      </c>
      <c r="D33" s="24">
        <f t="shared" si="3"/>
        <v>227107.77609682304</v>
      </c>
      <c r="E33" s="29"/>
    </row>
    <row r="34" spans="1:5" x14ac:dyDescent="0.25">
      <c r="A34" s="28" t="s">
        <v>116</v>
      </c>
      <c r="B34" s="120">
        <v>2.7</v>
      </c>
      <c r="C34" s="7">
        <f t="shared" si="4"/>
        <v>8.1694402420574903</v>
      </c>
      <c r="D34" s="24">
        <f t="shared" si="3"/>
        <v>383244.37216338888</v>
      </c>
      <c r="E34" s="29"/>
    </row>
    <row r="35" spans="1:5" x14ac:dyDescent="0.25">
      <c r="A35" s="28" t="s">
        <v>108</v>
      </c>
      <c r="B35" s="120">
        <v>3.2</v>
      </c>
      <c r="C35" s="7">
        <f t="shared" si="4"/>
        <v>9.682299546142211</v>
      </c>
      <c r="D35" s="24">
        <f t="shared" si="3"/>
        <v>454215.55219364609</v>
      </c>
      <c r="E35" s="29"/>
    </row>
    <row r="36" spans="1:5" x14ac:dyDescent="0.25">
      <c r="A36" s="28" t="s">
        <v>132</v>
      </c>
      <c r="B36" s="120">
        <v>3.15</v>
      </c>
      <c r="C36" s="7">
        <f t="shared" si="4"/>
        <v>9.5310136157337393</v>
      </c>
      <c r="D36" s="24">
        <f t="shared" si="3"/>
        <v>447118.43419062044</v>
      </c>
      <c r="E36" s="29"/>
    </row>
    <row r="37" spans="1:5" x14ac:dyDescent="0.25">
      <c r="A37" s="28" t="s">
        <v>106</v>
      </c>
      <c r="B37" s="120">
        <v>0.9</v>
      </c>
      <c r="C37" s="7">
        <f t="shared" si="4"/>
        <v>2.7231467473524971</v>
      </c>
      <c r="D37" s="24">
        <f t="shared" si="3"/>
        <v>127748.12405446297</v>
      </c>
      <c r="E37" s="29"/>
    </row>
    <row r="38" spans="1:5" x14ac:dyDescent="0.25">
      <c r="A38" s="28" t="s">
        <v>105</v>
      </c>
      <c r="B38" s="120">
        <v>0.95</v>
      </c>
      <c r="C38" s="7">
        <f t="shared" si="4"/>
        <v>2.8744326777609692</v>
      </c>
      <c r="D38" s="24">
        <f t="shared" si="3"/>
        <v>134845.24205748868</v>
      </c>
      <c r="E38" s="29"/>
    </row>
    <row r="39" spans="1:5" x14ac:dyDescent="0.25">
      <c r="A39" s="28" t="s">
        <v>12</v>
      </c>
      <c r="B39" s="120">
        <v>2.87</v>
      </c>
      <c r="C39" s="7">
        <f t="shared" si="4"/>
        <v>8.6838124054462966</v>
      </c>
      <c r="D39" s="24">
        <f t="shared" si="3"/>
        <v>407374.57337367639</v>
      </c>
      <c r="E39" s="29"/>
    </row>
    <row r="40" spans="1:5" x14ac:dyDescent="0.25">
      <c r="A40" s="28" t="s">
        <v>110</v>
      </c>
      <c r="B40" s="120">
        <v>2.92</v>
      </c>
      <c r="C40" s="7">
        <f t="shared" si="4"/>
        <v>8.8350983358547683</v>
      </c>
      <c r="D40" s="24">
        <f t="shared" si="3"/>
        <v>414471.6913767021</v>
      </c>
      <c r="E40" s="29"/>
    </row>
    <row r="41" spans="1:5" x14ac:dyDescent="0.25">
      <c r="A41" s="28" t="s">
        <v>117</v>
      </c>
      <c r="B41" s="120">
        <v>2.15</v>
      </c>
      <c r="C41" s="7">
        <f t="shared" si="4"/>
        <v>6.5052950075642988</v>
      </c>
      <c r="D41" s="24">
        <f t="shared" si="3"/>
        <v>305176.07413010602</v>
      </c>
      <c r="E41" s="29"/>
    </row>
    <row r="42" spans="1:5" x14ac:dyDescent="0.25">
      <c r="A42" s="28" t="s">
        <v>111</v>
      </c>
      <c r="B42" s="120">
        <v>0.55000000000000004</v>
      </c>
      <c r="C42" s="7">
        <f t="shared" si="4"/>
        <v>1.6641452344931928</v>
      </c>
      <c r="D42" s="24">
        <f t="shared" si="3"/>
        <v>78068.298033282932</v>
      </c>
      <c r="E42" s="29"/>
    </row>
    <row r="43" spans="1:5" x14ac:dyDescent="0.25">
      <c r="A43" s="28" t="s">
        <v>109</v>
      </c>
      <c r="B43" s="120">
        <v>0.56000000000000005</v>
      </c>
      <c r="C43" s="7">
        <f t="shared" si="4"/>
        <v>1.6944024205748873</v>
      </c>
      <c r="D43" s="24">
        <f t="shared" si="3"/>
        <v>79487.721633888083</v>
      </c>
      <c r="E43" s="29"/>
    </row>
    <row r="44" spans="1:5" x14ac:dyDescent="0.25">
      <c r="A44" s="28" t="s">
        <v>112</v>
      </c>
      <c r="B44" s="120">
        <v>2.23</v>
      </c>
      <c r="C44" s="7">
        <f t="shared" si="4"/>
        <v>6.7473524962178537</v>
      </c>
      <c r="D44" s="24">
        <f t="shared" si="3"/>
        <v>316531.46293494711</v>
      </c>
      <c r="E44" s="29"/>
    </row>
    <row r="45" spans="1:5" x14ac:dyDescent="0.25">
      <c r="A45" s="28" t="s">
        <v>113</v>
      </c>
      <c r="B45" s="120">
        <v>1</v>
      </c>
      <c r="C45" s="7">
        <f t="shared" si="4"/>
        <v>3.0257186081694409</v>
      </c>
      <c r="D45" s="24">
        <f t="shared" si="3"/>
        <v>141942.36006051439</v>
      </c>
      <c r="E45" s="29"/>
    </row>
    <row r="46" spans="1:5" x14ac:dyDescent="0.25">
      <c r="A46" s="28"/>
      <c r="B46" s="120"/>
      <c r="C46" s="7"/>
      <c r="D46" s="21"/>
      <c r="E46" s="22"/>
    </row>
    <row r="47" spans="1:5" ht="15.75" thickBot="1" x14ac:dyDescent="0.3">
      <c r="A47" s="30" t="s">
        <v>14</v>
      </c>
      <c r="B47" s="121">
        <f>SUM(B30:B45)</f>
        <v>33.04999999999999</v>
      </c>
      <c r="C47" s="6">
        <f>SUM(C30:C45)</f>
        <v>100.00000000000003</v>
      </c>
      <c r="D47" s="26">
        <f>SUM(D30:D45)</f>
        <v>4691195.0000000009</v>
      </c>
      <c r="E47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FM -  2013</vt:lpstr>
      <vt:lpstr>Totalt 20.11</vt:lpstr>
      <vt:lpstr>TL Sport-AL Sport,Kommersiell</vt:lpstr>
      <vt:lpstr>TL kommersiell</vt:lpstr>
      <vt:lpstr>Utvikling</vt:lpstr>
      <vt:lpstr>'FM -  2013'!Utskriftsområde</vt:lpstr>
      <vt:lpstr>'TL kommersiell'!Utskriftsområde</vt:lpstr>
      <vt:lpstr>'TL Sport-AL Sport,Kommersiell'!Utskriftsområde</vt:lpstr>
      <vt:lpstr>'Totalt 20.11'!Utskriftsområde</vt:lpstr>
      <vt:lpstr>Utvikling!Utskriftsområde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 Skistad</dc:creator>
  <cp:lastModifiedBy>Boye Skistad</cp:lastModifiedBy>
  <cp:lastPrinted>2013-11-15T15:29:07Z</cp:lastPrinted>
  <dcterms:created xsi:type="dcterms:W3CDTF">2012-11-22T13:25:02Z</dcterms:created>
  <dcterms:modified xsi:type="dcterms:W3CDTF">2013-11-15T16:02:40Z</dcterms:modified>
</cp:coreProperties>
</file>